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ملخص" sheetId="1" state="visible" r:id="rId1"/>
    <sheet xmlns:r="http://schemas.openxmlformats.org/officeDocument/2006/relationships" name="الافتراضات" sheetId="2" state="visible" r:id="rId2"/>
    <sheet xmlns:r="http://schemas.openxmlformats.org/officeDocument/2006/relationships" name="CAPEX" sheetId="3" state="visible" r:id="rId3"/>
    <sheet xmlns:r="http://schemas.openxmlformats.org/officeDocument/2006/relationships" name="OPEX" sheetId="4" state="visible" r:id="rId4"/>
    <sheet xmlns:r="http://schemas.openxmlformats.org/officeDocument/2006/relationships" name="الإيرادات" sheetId="5" state="visible" r:id="rId5"/>
    <sheet xmlns:r="http://schemas.openxmlformats.org/officeDocument/2006/relationships" name="تكلفة_الوحدة" sheetId="6" state="visible" r:id="rId6"/>
    <sheet xmlns:r="http://schemas.openxmlformats.org/officeDocument/2006/relationships" name="التدفق_الشهري" sheetId="7" state="visible" r:id="rId7"/>
    <sheet xmlns:r="http://schemas.openxmlformats.org/officeDocument/2006/relationships" name="التدفق_السنوي" sheetId="8" state="visible" r:id="rId8"/>
    <sheet xmlns:r="http://schemas.openxmlformats.org/officeDocument/2006/relationships" name="قائمة_الدخل" sheetId="9" state="visible" r:id="rId9"/>
    <sheet xmlns:r="http://schemas.openxmlformats.org/officeDocument/2006/relationships" name="الميزانية_الافتتاحية" sheetId="10" state="visible" r:id="rId10"/>
    <sheet xmlns:r="http://schemas.openxmlformats.org/officeDocument/2006/relationships" name="المؤشرات" sheetId="11" state="visible" r:id="rId11"/>
    <sheet xmlns:r="http://schemas.openxmlformats.org/officeDocument/2006/relationships" name="الحساسية" sheetId="12" state="visible" r:id="rId12"/>
    <sheet xmlns:r="http://schemas.openxmlformats.org/officeDocument/2006/relationships" name="السيناريوهات" sheetId="13" state="visible" r:id="rId13"/>
    <sheet xmlns:r="http://schemas.openxmlformats.org/officeDocument/2006/relationships" name="مراجعة_الافتراضات" sheetId="14" state="visible" r:id="rId14"/>
    <sheet xmlns:r="http://schemas.openxmlformats.org/officeDocument/2006/relationships" name="المخاطر" sheetId="15" state="visible" r:id="rId15"/>
    <sheet xmlns:r="http://schemas.openxmlformats.org/officeDocument/2006/relationships" name="التراخيص_والجودة" sheetId="16" state="visible" r:id="rId16"/>
    <sheet xmlns:r="http://schemas.openxmlformats.org/officeDocument/2006/relationships" name="السوق_والتوزيع" sheetId="17" state="visible" r:id="rId17"/>
    <sheet xmlns:r="http://schemas.openxmlformats.org/officeDocument/2006/relationships" name="خطة_التعديل" sheetId="18" state="visible" r:id="rId18"/>
    <sheet xmlns:r="http://schemas.openxmlformats.org/officeDocument/2006/relationships" name="الفحوصات" sheetId="19" state="visible" r:id="rId19"/>
  </sheets>
  <definedNames/>
  <calcPr calcId="124519" fullCalcOnLoad="1"/>
</workbook>
</file>

<file path=xl/styles.xml><?xml version="1.0" encoding="utf-8"?>
<styleSheet xmlns="http://schemas.openxmlformats.org/spreadsheetml/2006/main">
  <numFmts count="6">
    <numFmt numFmtId="164" formatCode="#,##0;[Red](#,##0);&quot;-&quot;"/>
    <numFmt numFmtId="165" formatCode="0.0%;[Red](0.0%);&quot;-&quot;"/>
    <numFmt numFmtId="166" formatCode="0.000&quot;x&quot;"/>
    <numFmt numFmtId="167" formatCode="#,##0.00;[Red](#,##0.00);&quot;-&quot;"/>
    <numFmt numFmtId="168" formatCode="0.00%;[Red](0.00%);&quot;-&quot;"/>
    <numFmt numFmtId="169" formatCode="#,##0.000;[Red](#,##0.000);&quot;-&quot;"/>
  </numFmts>
  <fonts count="29">
    <font>
      <name val="Calibri"/>
      <family val="2"/>
      <color theme="1"/>
      <sz val="11"/>
      <scheme val="minor"/>
    </font>
    <font>
      <name val="Segoe UI"/>
      <b val="1"/>
      <color rgb="00FFFFFF"/>
      <sz val="14"/>
    </font>
    <font>
      <name val="Segoe UI"/>
      <i val="1"/>
      <color rgb="00595959"/>
      <sz val="9"/>
    </font>
    <font>
      <name val="Segoe UI"/>
      <b val="1"/>
      <color rgb="00FFFFFF"/>
      <sz val="11"/>
    </font>
    <font>
      <name val="Segoe UI"/>
      <b val="1"/>
      <color rgb="000000FF"/>
      <sz val="10"/>
    </font>
    <font>
      <name val="Segoe UI"/>
      <color rgb="00595959"/>
      <sz val="9"/>
    </font>
    <font>
      <name val="Segoe UI"/>
      <b val="1"/>
      <color rgb="001F4E79"/>
      <sz val="10"/>
    </font>
    <font>
      <name val="Segoe UI"/>
      <color rgb="00000000"/>
      <sz val="10"/>
    </font>
    <font>
      <name val="Segoe UI"/>
      <b val="1"/>
      <color rgb="001F4E2E"/>
      <sz val="9"/>
    </font>
    <font>
      <name val="Segoe UI"/>
      <i val="1"/>
      <color rgb="00595959"/>
      <sz val="8"/>
    </font>
    <font>
      <name val="Segoe UI"/>
      <b val="1"/>
      <color rgb="00C00000"/>
      <sz val="10"/>
    </font>
    <font>
      <name val="Segoe UI"/>
      <i val="1"/>
      <color rgb="007F7F7F"/>
      <sz val="8"/>
    </font>
    <font>
      <name val="Segoe UI"/>
      <b val="1"/>
      <color rgb="00000000"/>
      <sz val="10"/>
    </font>
    <font>
      <name val="Segoe UI"/>
      <color rgb="00808080"/>
      <sz val="10"/>
    </font>
    <font>
      <name val="Segoe UI"/>
      <b val="1"/>
      <color rgb="001F4E2E"/>
      <sz val="8"/>
    </font>
    <font>
      <name val="Segoe UI"/>
      <color rgb="00000000"/>
      <sz val="8"/>
    </font>
    <font>
      <name val="Segoe UI"/>
      <b val="1"/>
      <color rgb="00C00000"/>
      <sz val="8"/>
    </font>
    <font>
      <name val="Segoe UI"/>
      <b val="1"/>
      <color rgb="00FFFFFF"/>
      <sz val="10"/>
    </font>
    <font>
      <name val="Segoe UI"/>
      <color rgb="000000FF"/>
      <sz val="10"/>
    </font>
    <font>
      <name val="Segoe UI"/>
      <b val="1"/>
      <color rgb="00808080"/>
      <sz val="10"/>
    </font>
    <font>
      <name val="Segoe UI"/>
      <b val="1"/>
      <color rgb="00BF8F00"/>
      <sz val="10"/>
    </font>
    <font>
      <name val="Segoe UI"/>
      <color rgb="00000000"/>
      <sz val="9"/>
    </font>
    <font>
      <name val="Segoe UI"/>
      <b val="1"/>
      <color rgb="00C00000"/>
      <sz val="9"/>
    </font>
    <font>
      <name val="Segoe UI"/>
      <b val="1"/>
      <color rgb="00BF8F00"/>
      <sz val="9"/>
    </font>
    <font>
      <name val="Segoe UI"/>
      <b val="1"/>
      <color rgb="001F4E79"/>
      <sz val="9"/>
    </font>
    <font>
      <name val="Segoe UI"/>
      <color rgb="00404040"/>
      <sz val="9"/>
    </font>
    <font>
      <name val="Segoe UI"/>
      <b val="1"/>
      <color rgb="00FFFFFF"/>
      <sz val="15"/>
    </font>
    <font>
      <name val="Segoe UI"/>
      <color rgb="00833C00"/>
      <sz val="10"/>
    </font>
    <font>
      <name val="Segoe UI"/>
      <b val="1"/>
      <color rgb="001F4E2E"/>
      <sz val="10"/>
    </font>
  </fonts>
  <fills count="10">
    <fill>
      <patternFill/>
    </fill>
    <fill>
      <patternFill patternType="gray125"/>
    </fill>
    <fill>
      <patternFill patternType="solid">
        <fgColor rgb="001F4E2E"/>
      </patternFill>
    </fill>
    <fill>
      <patternFill patternType="solid">
        <fgColor rgb="002E6B47"/>
      </patternFill>
    </fill>
    <fill>
      <patternFill patternType="solid">
        <fgColor rgb="00FFF7CC"/>
      </patternFill>
    </fill>
    <fill>
      <patternFill patternType="solid">
        <fgColor rgb="00DCE9F7"/>
      </patternFill>
    </fill>
    <fill>
      <patternFill patternType="solid">
        <fgColor rgb="00E8F1EA"/>
      </patternFill>
    </fill>
    <fill>
      <patternFill patternType="solid">
        <fgColor rgb="00FBE3E3"/>
      </patternFill>
    </fill>
    <fill>
      <patternFill patternType="solid">
        <fgColor rgb="00FDE9D9"/>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92">
    <xf numFmtId="0" fontId="0" fillId="0" borderId="0" pivotButton="0" quotePrefix="0" xfId="0"/>
    <xf numFmtId="0" fontId="26" fillId="2" borderId="0" pivotButton="0" quotePrefix="0" xfId="0"/>
    <xf numFmtId="0" fontId="0" fillId="2" borderId="0" pivotButton="0" quotePrefix="0" xfId="0"/>
    <xf numFmtId="0" fontId="2" fillId="0" borderId="0" pivotButton="0" quotePrefix="0" xfId="0"/>
    <xf numFmtId="0" fontId="3" fillId="3" borderId="0" pivotButton="0" quotePrefix="0" xfId="0"/>
    <xf numFmtId="0" fontId="27" fillId="9" borderId="0" applyAlignment="1" pivotButton="0" quotePrefix="0" xfId="0">
      <alignment horizontal="right" vertical="top" wrapText="1" readingOrder="2"/>
    </xf>
    <xf numFmtId="0" fontId="0" fillId="9" borderId="0" pivotButton="0" quotePrefix="0" xfId="0"/>
    <xf numFmtId="0" fontId="28" fillId="6" borderId="1" applyAlignment="1" pivotButton="0" quotePrefix="0" xfId="0">
      <alignment horizontal="center" vertical="center" readingOrder="2"/>
    </xf>
    <xf numFmtId="0" fontId="12" fillId="0" borderId="1" applyAlignment="1" pivotButton="0" quotePrefix="0" xfId="0">
      <alignment horizontal="right" vertical="center" readingOrder="2"/>
    </xf>
    <xf numFmtId="164" fontId="13" fillId="0" borderId="1" applyAlignment="1" pivotButton="0" quotePrefix="0" xfId="0">
      <alignment horizontal="center" vertical="center" readingOrder="2"/>
    </xf>
    <xf numFmtId="164" fontId="6" fillId="0" borderId="1" applyAlignment="1" pivotButton="0" quotePrefix="0" xfId="0">
      <alignment horizontal="center" vertical="center" readingOrder="2"/>
    </xf>
    <xf numFmtId="164" fontId="10" fillId="0" borderId="1" applyAlignment="1" pivotButton="0" quotePrefix="0" xfId="0">
      <alignment horizontal="center" vertical="center" readingOrder="2"/>
    </xf>
    <xf numFmtId="0" fontId="9" fillId="0" borderId="0" applyAlignment="1" pivotButton="0" quotePrefix="0" xfId="0">
      <alignment horizontal="right" vertical="center" wrapText="1" readingOrder="2"/>
    </xf>
    <xf numFmtId="165" fontId="13" fillId="0" borderId="1" applyAlignment="1" pivotButton="0" quotePrefix="0" xfId="0">
      <alignment horizontal="center" vertical="center" readingOrder="2"/>
    </xf>
    <xf numFmtId="165" fontId="6" fillId="0" borderId="1" applyAlignment="1" pivotButton="0" quotePrefix="0" xfId="0">
      <alignment horizontal="center" vertical="center" readingOrder="2"/>
    </xf>
    <xf numFmtId="165" fontId="10" fillId="0" borderId="1" applyAlignment="1" pivotButton="0" quotePrefix="0" xfId="0">
      <alignment horizontal="center" vertical="center" readingOrder="2"/>
    </xf>
    <xf numFmtId="167" fontId="13" fillId="0" borderId="1" applyAlignment="1" pivotButton="0" quotePrefix="0" xfId="0">
      <alignment horizontal="center" vertical="center" readingOrder="2"/>
    </xf>
    <xf numFmtId="167" fontId="6" fillId="0" borderId="1" applyAlignment="1" pivotButton="0" quotePrefix="0" xfId="0">
      <alignment horizontal="center" vertical="center" readingOrder="2"/>
    </xf>
    <xf numFmtId="167" fontId="10" fillId="0" borderId="1" applyAlignment="1" pivotButton="0" quotePrefix="0" xfId="0">
      <alignment horizontal="center" vertical="center" readingOrder="2"/>
    </xf>
    <xf numFmtId="0" fontId="17" fillId="3" borderId="0" pivotButton="0" quotePrefix="0" xfId="0"/>
    <xf numFmtId="0" fontId="12" fillId="0" borderId="0" pivotButton="0" quotePrefix="0" xfId="0"/>
    <xf numFmtId="1" fontId="0" fillId="0" borderId="0" pivotButton="0" quotePrefix="0" xfId="0"/>
    <xf numFmtId="0" fontId="7" fillId="0" borderId="0" applyAlignment="1" pivotButton="0" quotePrefix="0" xfId="0">
      <alignment horizontal="right" vertical="center" readingOrder="2"/>
    </xf>
    <xf numFmtId="164" fontId="0" fillId="0" borderId="0" pivotButton="0" quotePrefix="0" xfId="0"/>
    <xf numFmtId="0" fontId="7" fillId="0" borderId="0" pivotButton="0" quotePrefix="0" xfId="0"/>
    <xf numFmtId="0" fontId="1" fillId="2" borderId="0" applyAlignment="1" pivotButton="0" quotePrefix="0" xfId="0">
      <alignment horizontal="right" vertical="center" readingOrder="2"/>
    </xf>
    <xf numFmtId="0" fontId="2" fillId="0" borderId="0" applyAlignment="1" pivotButton="0" quotePrefix="0" xfId="0">
      <alignment horizontal="right" vertical="center" readingOrder="2"/>
    </xf>
    <xf numFmtId="0" fontId="3" fillId="3" borderId="0" applyAlignment="1" pivotButton="0" quotePrefix="0" xfId="0">
      <alignment horizontal="right" vertical="center" readingOrder="2"/>
    </xf>
    <xf numFmtId="0" fontId="0" fillId="3" borderId="0" pivotButton="0" quotePrefix="0" xfId="0"/>
    <xf numFmtId="0" fontId="4" fillId="0" borderId="0" applyAlignment="1" pivotButton="0" quotePrefix="0" xfId="0">
      <alignment horizontal="right" vertical="center" readingOrder="2"/>
    </xf>
    <xf numFmtId="1" fontId="4" fillId="4" borderId="1" applyAlignment="1" pivotButton="0" quotePrefix="0" xfId="0">
      <alignment horizontal="center" vertical="center" readingOrder="2"/>
    </xf>
    <xf numFmtId="0" fontId="5" fillId="0" borderId="0" applyAlignment="1" pivotButton="0" quotePrefix="0" xfId="0">
      <alignment horizontal="center" vertical="center" readingOrder="2"/>
    </xf>
    <xf numFmtId="0" fontId="2" fillId="0" borderId="0" applyAlignment="1" pivotButton="0" quotePrefix="0" xfId="0">
      <alignment horizontal="right" vertical="center" wrapText="1" readingOrder="2"/>
    </xf>
    <xf numFmtId="164" fontId="4" fillId="4" borderId="1" applyAlignment="1" pivotButton="0" quotePrefix="0" xfId="0">
      <alignment horizontal="center" vertical="center" readingOrder="2"/>
    </xf>
    <xf numFmtId="0" fontId="6" fillId="0" borderId="0" applyAlignment="1" pivotButton="0" quotePrefix="0" xfId="0">
      <alignment horizontal="right" vertical="center" readingOrder="2"/>
    </xf>
    <xf numFmtId="164" fontId="6" fillId="5" borderId="1" applyAlignment="1" pivotButton="0" quotePrefix="0" xfId="0">
      <alignment horizontal="center" vertical="center" readingOrder="2"/>
    </xf>
    <xf numFmtId="165" fontId="4" fillId="4" borderId="1" applyAlignment="1" pivotButton="0" quotePrefix="0" xfId="0">
      <alignment horizontal="center" vertical="center" readingOrder="2"/>
    </xf>
    <xf numFmtId="165" fontId="7" fillId="0" borderId="1" applyAlignment="1" pivotButton="0" quotePrefix="0" xfId="0">
      <alignment horizontal="center" vertical="center" readingOrder="2"/>
    </xf>
    <xf numFmtId="0" fontId="8" fillId="6" borderId="1" applyAlignment="1" pivotButton="0" quotePrefix="0" xfId="0">
      <alignment horizontal="center" vertical="center" readingOrder="2"/>
    </xf>
    <xf numFmtId="165" fontId="6" fillId="5" borderId="1" applyAlignment="1" pivotButton="0" quotePrefix="0" xfId="0">
      <alignment horizontal="center" vertical="center" readingOrder="2"/>
    </xf>
    <xf numFmtId="166" fontId="4" fillId="4" borderId="1" applyAlignment="1" pivotButton="0" quotePrefix="0" xfId="0">
      <alignment horizontal="center" vertical="center" readingOrder="2"/>
    </xf>
    <xf numFmtId="166" fontId="6" fillId="5" borderId="1" applyAlignment="1" pivotButton="0" quotePrefix="0" xfId="0">
      <alignment horizontal="center" vertical="center" readingOrder="2"/>
    </xf>
    <xf numFmtId="167" fontId="4" fillId="4" borderId="1" applyAlignment="1" pivotButton="0" quotePrefix="0" xfId="0">
      <alignment horizontal="center" vertical="center" readingOrder="2"/>
    </xf>
    <xf numFmtId="168" fontId="4" fillId="4" borderId="1" applyAlignment="1" pivotButton="0" quotePrefix="0" xfId="0">
      <alignment horizontal="center" vertical="center" readingOrder="2"/>
    </xf>
    <xf numFmtId="164" fontId="7" fillId="0" borderId="1" applyAlignment="1" pivotButton="0" quotePrefix="0" xfId="0">
      <alignment horizontal="center" vertical="center" readingOrder="2"/>
    </xf>
    <xf numFmtId="0" fontId="10" fillId="0" borderId="0" applyAlignment="1" pivotButton="0" quotePrefix="0" xfId="0">
      <alignment horizontal="right" vertical="center" readingOrder="2"/>
    </xf>
    <xf numFmtId="164" fontId="10" fillId="7" borderId="1" applyAlignment="1" pivotButton="0" quotePrefix="0" xfId="0">
      <alignment horizontal="center" vertical="center" readingOrder="2"/>
    </xf>
    <xf numFmtId="169" fontId="7" fillId="0" borderId="1" applyAlignment="1" pivotButton="0" quotePrefix="0" xfId="0">
      <alignment horizontal="center" vertical="center" readingOrder="2"/>
    </xf>
    <xf numFmtId="167" fontId="7" fillId="0" borderId="1" applyAlignment="1" pivotButton="0" quotePrefix="0" xfId="0">
      <alignment horizontal="center" vertical="center" readingOrder="2"/>
    </xf>
    <xf numFmtId="0" fontId="11" fillId="0" borderId="0" applyAlignment="1" pivotButton="0" quotePrefix="0" xfId="0">
      <alignment horizontal="right" vertical="center" wrapText="1" readingOrder="2"/>
    </xf>
    <xf numFmtId="164" fontId="0" fillId="0" borderId="1" applyAlignment="1" pivotButton="0" quotePrefix="0" xfId="0">
      <alignment horizontal="center" vertical="center" readingOrder="2"/>
    </xf>
    <xf numFmtId="165" fontId="0" fillId="0" borderId="1" applyAlignment="1" pivotButton="0" quotePrefix="0" xfId="0">
      <alignment horizontal="center" vertical="center" readingOrder="2"/>
    </xf>
    <xf numFmtId="165" fontId="10" fillId="7" borderId="1" applyAlignment="1" pivotButton="0" quotePrefix="0" xfId="0">
      <alignment horizontal="center" vertical="center" readingOrder="2"/>
    </xf>
    <xf numFmtId="166" fontId="7" fillId="0" borderId="1" applyAlignment="1" pivotButton="0" quotePrefix="0" xfId="0">
      <alignment horizontal="center" vertical="center" readingOrder="2"/>
    </xf>
    <xf numFmtId="167" fontId="6" fillId="5" borderId="1" applyAlignment="1" pivotButton="0" quotePrefix="0" xfId="0">
      <alignment horizontal="center" vertical="center" readingOrder="2"/>
    </xf>
    <xf numFmtId="167" fontId="10" fillId="7" borderId="1" applyAlignment="1" pivotButton="0" quotePrefix="0" xfId="0">
      <alignment horizontal="center" vertical="center" readingOrder="2"/>
    </xf>
    <xf numFmtId="169" fontId="10" fillId="7" borderId="1" applyAlignment="1" pivotButton="0" quotePrefix="0" xfId="0">
      <alignment horizontal="center" vertical="center" readingOrder="2"/>
    </xf>
    <xf numFmtId="0" fontId="12" fillId="0" borderId="0" applyAlignment="1" pivotButton="0" quotePrefix="0" xfId="0">
      <alignment horizontal="right" vertical="center" readingOrder="2"/>
    </xf>
    <xf numFmtId="169" fontId="6" fillId="0" borderId="1" applyAlignment="1" pivotButton="0" quotePrefix="0" xfId="0">
      <alignment horizontal="center" vertical="center" readingOrder="2"/>
    </xf>
    <xf numFmtId="169" fontId="13" fillId="0" borderId="1" applyAlignment="1" pivotButton="0" quotePrefix="0" xfId="0">
      <alignment horizontal="center" vertical="center" readingOrder="2"/>
    </xf>
    <xf numFmtId="0" fontId="11" fillId="0" borderId="0" applyAlignment="1" pivotButton="0" quotePrefix="0" xfId="0">
      <alignment horizontal="right" vertical="center" readingOrder="2"/>
    </xf>
    <xf numFmtId="1" fontId="14" fillId="6" borderId="1" applyAlignment="1" pivotButton="0" quotePrefix="0" xfId="0">
      <alignment horizontal="center" vertical="center" readingOrder="2"/>
    </xf>
    <xf numFmtId="1" fontId="15" fillId="0" borderId="0" applyAlignment="1" pivotButton="0" quotePrefix="0" xfId="0">
      <alignment horizontal="center" vertical="center" readingOrder="2"/>
    </xf>
    <xf numFmtId="166" fontId="15" fillId="0" borderId="0" applyAlignment="1" pivotButton="0" quotePrefix="0" xfId="0">
      <alignment horizontal="center" vertical="center" readingOrder="2"/>
    </xf>
    <xf numFmtId="169" fontId="15" fillId="0" borderId="0" applyAlignment="1" pivotButton="0" quotePrefix="0" xfId="0">
      <alignment horizontal="center" vertical="center" readingOrder="2"/>
    </xf>
    <xf numFmtId="164" fontId="15" fillId="0" borderId="0" applyAlignment="1" pivotButton="0" quotePrefix="0" xfId="0">
      <alignment horizontal="center" vertical="center" readingOrder="2"/>
    </xf>
    <xf numFmtId="164" fontId="15" fillId="5" borderId="0" applyAlignment="1" pivotButton="0" quotePrefix="0" xfId="0">
      <alignment horizontal="center" vertical="center" readingOrder="2"/>
    </xf>
    <xf numFmtId="164" fontId="16" fillId="7" borderId="0" applyAlignment="1" pivotButton="0" quotePrefix="0" xfId="0">
      <alignment horizontal="center" vertical="center" readingOrder="2"/>
    </xf>
    <xf numFmtId="1" fontId="6" fillId="5" borderId="1" applyAlignment="1" pivotButton="0" quotePrefix="0" xfId="0">
      <alignment horizontal="center" vertical="center" readingOrder="2"/>
    </xf>
    <xf numFmtId="169" fontId="6" fillId="5" borderId="1" applyAlignment="1" pivotButton="0" quotePrefix="0" xfId="0">
      <alignment horizontal="center" vertical="center" readingOrder="2"/>
    </xf>
    <xf numFmtId="0" fontId="6" fillId="0" borderId="1" applyAlignment="1" pivotButton="0" quotePrefix="0" xfId="0">
      <alignment horizontal="center" vertical="center" readingOrder="2"/>
    </xf>
    <xf numFmtId="166" fontId="10" fillId="7" borderId="1" applyAlignment="1" pivotButton="0" quotePrefix="0" xfId="0">
      <alignment horizontal="center" vertical="center" readingOrder="2"/>
    </xf>
    <xf numFmtId="0" fontId="8" fillId="6" borderId="1" applyAlignment="1" pivotButton="0" quotePrefix="0" xfId="0">
      <alignment horizontal="right" vertical="center" wrapText="1" readingOrder="2"/>
    </xf>
    <xf numFmtId="1" fontId="6" fillId="0" borderId="1" applyAlignment="1" pivotButton="0" quotePrefix="0" xfId="0">
      <alignment horizontal="center" vertical="center" readingOrder="2"/>
    </xf>
    <xf numFmtId="0" fontId="17" fillId="3" borderId="1" applyAlignment="1" pivotButton="0" quotePrefix="0" xfId="0">
      <alignment horizontal="center" vertical="center" readingOrder="2"/>
    </xf>
    <xf numFmtId="165" fontId="17" fillId="3" borderId="1" applyAlignment="1" pivotButton="0" quotePrefix="0" xfId="0">
      <alignment horizontal="center" vertical="center" readingOrder="2"/>
    </xf>
    <xf numFmtId="165" fontId="12" fillId="0" borderId="1" applyAlignment="1" pivotButton="0" quotePrefix="0" xfId="0">
      <alignment horizontal="center" vertical="center" readingOrder="2"/>
    </xf>
    <xf numFmtId="164" fontId="12" fillId="0" borderId="1" applyAlignment="1" pivotButton="0" quotePrefix="0" xfId="0">
      <alignment horizontal="center" vertical="center" readingOrder="2"/>
    </xf>
    <xf numFmtId="0" fontId="10" fillId="7" borderId="1" applyAlignment="1" pivotButton="0" quotePrefix="0" xfId="0">
      <alignment horizontal="center" vertical="center" readingOrder="2"/>
    </xf>
    <xf numFmtId="0" fontId="18" fillId="0" borderId="1" applyAlignment="1" pivotButton="0" quotePrefix="0" xfId="0">
      <alignment horizontal="center" vertical="center" readingOrder="2"/>
    </xf>
    <xf numFmtId="165" fontId="19" fillId="0" borderId="1" applyAlignment="1" pivotButton="0" quotePrefix="0" xfId="0">
      <alignment horizontal="center" vertical="center" readingOrder="2"/>
    </xf>
    <xf numFmtId="0" fontId="10" fillId="0" borderId="1" applyAlignment="1" pivotButton="0" quotePrefix="0" xfId="0">
      <alignment horizontal="center" vertical="center" readingOrder="2"/>
    </xf>
    <xf numFmtId="169" fontId="19" fillId="0" borderId="1" applyAlignment="1" pivotButton="0" quotePrefix="0" xfId="0">
      <alignment horizontal="center" vertical="center" readingOrder="2"/>
    </xf>
    <xf numFmtId="0" fontId="20" fillId="0" borderId="1" applyAlignment="1" pivotButton="0" quotePrefix="0" xfId="0">
      <alignment horizontal="center" vertical="center" readingOrder="2"/>
    </xf>
    <xf numFmtId="164" fontId="19" fillId="0" borderId="1" applyAlignment="1" pivotButton="0" quotePrefix="0" xfId="0">
      <alignment horizontal="center" vertical="center" readingOrder="2"/>
    </xf>
    <xf numFmtId="1" fontId="19" fillId="0" borderId="1" applyAlignment="1" pivotButton="0" quotePrefix="0" xfId="0">
      <alignment horizontal="center" vertical="center" readingOrder="2"/>
    </xf>
    <xf numFmtId="0" fontId="21" fillId="0" borderId="1" applyAlignment="1" pivotButton="0" quotePrefix="0" xfId="0">
      <alignment horizontal="center" vertical="center" readingOrder="2"/>
    </xf>
    <xf numFmtId="0" fontId="21" fillId="0" borderId="1" applyAlignment="1" pivotButton="0" quotePrefix="0" xfId="0">
      <alignment horizontal="right" vertical="center" wrapText="1" readingOrder="2"/>
    </xf>
    <xf numFmtId="0" fontId="22" fillId="7" borderId="1" applyAlignment="1" pivotButton="0" quotePrefix="0" xfId="0">
      <alignment horizontal="right" vertical="center" wrapText="1" readingOrder="2"/>
    </xf>
    <xf numFmtId="0" fontId="23" fillId="8" borderId="1" applyAlignment="1" pivotButton="0" quotePrefix="0" xfId="0">
      <alignment horizontal="right" vertical="center" wrapText="1" readingOrder="2"/>
    </xf>
    <xf numFmtId="0" fontId="24" fillId="0" borderId="1" applyAlignment="1" pivotButton="0" quotePrefix="0" xfId="0">
      <alignment horizontal="right" vertical="center" wrapText="1" readingOrder="2"/>
    </xf>
    <xf numFmtId="0" fontId="25" fillId="0" borderId="0" applyAlignment="1" pivotButton="0" quotePrefix="0" xfId="0">
      <alignment horizontal="right" vertical="center" wrapText="1" readingOrder="2"/>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styles" Target="styles.xml" Id="rId20"/><Relationship Type="http://schemas.openxmlformats.org/officeDocument/2006/relationships/theme" Target="theme/theme1.xml" Id="rId2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صافي التدفق النقدي الحر — 10 سنوات (ج.م)</a:t>
            </a:r>
          </a:p>
        </rich>
      </tx>
    </title>
    <plotArea>
      <barChart>
        <barDir val="col"/>
        <grouping val="clustered"/>
        <ser>
          <idx val="0"/>
          <order val="0"/>
          <spPr>
            <a:ln xmlns:a="http://schemas.openxmlformats.org/drawingml/2006/main">
              <a:prstDash val="solid"/>
            </a:ln>
          </spPr>
          <cat>
            <numRef>
              <f>'التدفق_السنوي'!$D$3:$M$3</f>
            </numRef>
          </cat>
          <val>
            <numRef>
              <f>'التدفق_السنوي'!$D$21</f>
            </numRef>
          </val>
        </ser>
        <ser>
          <idx val="1"/>
          <order val="1"/>
          <spPr>
            <a:ln xmlns:a="http://schemas.openxmlformats.org/drawingml/2006/main">
              <a:prstDash val="solid"/>
            </a:ln>
          </spPr>
          <cat>
            <numRef>
              <f>'التدفق_السنوي'!$D$3:$M$3</f>
            </numRef>
          </cat>
          <val>
            <numRef>
              <f>'التدفق_السنوي'!$E$21</f>
            </numRef>
          </val>
        </ser>
        <ser>
          <idx val="2"/>
          <order val="2"/>
          <spPr>
            <a:ln xmlns:a="http://schemas.openxmlformats.org/drawingml/2006/main">
              <a:prstDash val="solid"/>
            </a:ln>
          </spPr>
          <cat>
            <numRef>
              <f>'التدفق_السنوي'!$D$3:$M$3</f>
            </numRef>
          </cat>
          <val>
            <numRef>
              <f>'التدفق_السنوي'!$F$21</f>
            </numRef>
          </val>
        </ser>
        <ser>
          <idx val="3"/>
          <order val="3"/>
          <spPr>
            <a:ln xmlns:a="http://schemas.openxmlformats.org/drawingml/2006/main">
              <a:prstDash val="solid"/>
            </a:ln>
          </spPr>
          <cat>
            <numRef>
              <f>'التدفق_السنوي'!$D$3:$M$3</f>
            </numRef>
          </cat>
          <val>
            <numRef>
              <f>'التدفق_السنوي'!$G$21</f>
            </numRef>
          </val>
        </ser>
        <ser>
          <idx val="4"/>
          <order val="4"/>
          <spPr>
            <a:ln xmlns:a="http://schemas.openxmlformats.org/drawingml/2006/main">
              <a:prstDash val="solid"/>
            </a:ln>
          </spPr>
          <cat>
            <numRef>
              <f>'التدفق_السنوي'!$D$3:$M$3</f>
            </numRef>
          </cat>
          <val>
            <numRef>
              <f>'التدفق_السنوي'!$H$21</f>
            </numRef>
          </val>
        </ser>
        <ser>
          <idx val="5"/>
          <order val="5"/>
          <spPr>
            <a:ln xmlns:a="http://schemas.openxmlformats.org/drawingml/2006/main">
              <a:prstDash val="solid"/>
            </a:ln>
          </spPr>
          <cat>
            <numRef>
              <f>'التدفق_السنوي'!$D$3:$M$3</f>
            </numRef>
          </cat>
          <val>
            <numRef>
              <f>'التدفق_السنوي'!$I$21</f>
            </numRef>
          </val>
        </ser>
        <ser>
          <idx val="6"/>
          <order val="6"/>
          <spPr>
            <a:ln xmlns:a="http://schemas.openxmlformats.org/drawingml/2006/main">
              <a:prstDash val="solid"/>
            </a:ln>
          </spPr>
          <cat>
            <numRef>
              <f>'التدفق_السنوي'!$D$3:$M$3</f>
            </numRef>
          </cat>
          <val>
            <numRef>
              <f>'التدفق_السنوي'!$J$21</f>
            </numRef>
          </val>
        </ser>
        <ser>
          <idx val="7"/>
          <order val="7"/>
          <spPr>
            <a:ln xmlns:a="http://schemas.openxmlformats.org/drawingml/2006/main">
              <a:prstDash val="solid"/>
            </a:ln>
          </spPr>
          <cat>
            <numRef>
              <f>'التدفق_السنوي'!$D$3:$M$3</f>
            </numRef>
          </cat>
          <val>
            <numRef>
              <f>'التدفق_السنوي'!$K$21</f>
            </numRef>
          </val>
        </ser>
        <ser>
          <idx val="8"/>
          <order val="8"/>
          <spPr>
            <a:ln xmlns:a="http://schemas.openxmlformats.org/drawingml/2006/main">
              <a:prstDash val="solid"/>
            </a:ln>
          </spPr>
          <cat>
            <numRef>
              <f>'التدفق_السنوي'!$D$3:$M$3</f>
            </numRef>
          </cat>
          <val>
            <numRef>
              <f>'التدفق_السنوي'!$L$21</f>
            </numRef>
          </val>
        </ser>
        <ser>
          <idx val="9"/>
          <order val="9"/>
          <spPr>
            <a:ln xmlns:a="http://schemas.openxmlformats.org/drawingml/2006/main">
              <a:prstDash val="solid"/>
            </a:ln>
          </spPr>
          <cat>
            <numRef>
              <f>'التدفق_السنوي'!$D$3:$M$3</f>
            </numRef>
          </cat>
          <val>
            <numRef>
              <f>'التدفق_السنوي'!$M$21</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التدفق النقدي التراكمي (ج.م)</a:t>
            </a:r>
          </a:p>
        </rich>
      </tx>
    </title>
    <plotArea>
      <lineChart>
        <grouping val="standard"/>
        <ser>
          <idx val="0"/>
          <order val="0"/>
          <spPr>
            <a:ln xmlns:a="http://schemas.openxmlformats.org/drawingml/2006/main">
              <a:prstDash val="solid"/>
            </a:ln>
          </spPr>
          <marker>
            <symbol val="none"/>
            <spPr>
              <a:ln xmlns:a="http://schemas.openxmlformats.org/drawingml/2006/main">
                <a:prstDash val="solid"/>
              </a:ln>
            </spPr>
          </marker>
          <cat>
            <numRef>
              <f>'التدفق_السنوي'!$D$3:$M$3</f>
            </numRef>
          </cat>
          <val>
            <numRef>
              <f>'التدفق_السنوي'!$D$22</f>
            </numRef>
          </val>
        </ser>
        <ser>
          <idx val="1"/>
          <order val="1"/>
          <spPr>
            <a:ln xmlns:a="http://schemas.openxmlformats.org/drawingml/2006/main">
              <a:prstDash val="solid"/>
            </a:ln>
          </spPr>
          <marker>
            <symbol val="none"/>
            <spPr>
              <a:ln xmlns:a="http://schemas.openxmlformats.org/drawingml/2006/main">
                <a:prstDash val="solid"/>
              </a:ln>
            </spPr>
          </marker>
          <cat>
            <numRef>
              <f>'التدفق_السنوي'!$D$3:$M$3</f>
            </numRef>
          </cat>
          <val>
            <numRef>
              <f>'التدفق_السنوي'!$E$22</f>
            </numRef>
          </val>
        </ser>
        <ser>
          <idx val="2"/>
          <order val="2"/>
          <spPr>
            <a:ln xmlns:a="http://schemas.openxmlformats.org/drawingml/2006/main">
              <a:prstDash val="solid"/>
            </a:ln>
          </spPr>
          <marker>
            <symbol val="none"/>
            <spPr>
              <a:ln xmlns:a="http://schemas.openxmlformats.org/drawingml/2006/main">
                <a:prstDash val="solid"/>
              </a:ln>
            </spPr>
          </marker>
          <cat>
            <numRef>
              <f>'التدفق_السنوي'!$D$3:$M$3</f>
            </numRef>
          </cat>
          <val>
            <numRef>
              <f>'التدفق_السنوي'!$F$22</f>
            </numRef>
          </val>
        </ser>
        <ser>
          <idx val="3"/>
          <order val="3"/>
          <spPr>
            <a:ln xmlns:a="http://schemas.openxmlformats.org/drawingml/2006/main">
              <a:prstDash val="solid"/>
            </a:ln>
          </spPr>
          <marker>
            <symbol val="none"/>
            <spPr>
              <a:ln xmlns:a="http://schemas.openxmlformats.org/drawingml/2006/main">
                <a:prstDash val="solid"/>
              </a:ln>
            </spPr>
          </marker>
          <cat>
            <numRef>
              <f>'التدفق_السنوي'!$D$3:$M$3</f>
            </numRef>
          </cat>
          <val>
            <numRef>
              <f>'التدفق_السنوي'!$G$22</f>
            </numRef>
          </val>
        </ser>
        <ser>
          <idx val="4"/>
          <order val="4"/>
          <spPr>
            <a:ln xmlns:a="http://schemas.openxmlformats.org/drawingml/2006/main">
              <a:prstDash val="solid"/>
            </a:ln>
          </spPr>
          <marker>
            <symbol val="none"/>
            <spPr>
              <a:ln xmlns:a="http://schemas.openxmlformats.org/drawingml/2006/main">
                <a:prstDash val="solid"/>
              </a:ln>
            </spPr>
          </marker>
          <cat>
            <numRef>
              <f>'التدفق_السنوي'!$D$3:$M$3</f>
            </numRef>
          </cat>
          <val>
            <numRef>
              <f>'التدفق_السنوي'!$H$22</f>
            </numRef>
          </val>
        </ser>
        <ser>
          <idx val="5"/>
          <order val="5"/>
          <spPr>
            <a:ln xmlns:a="http://schemas.openxmlformats.org/drawingml/2006/main">
              <a:prstDash val="solid"/>
            </a:ln>
          </spPr>
          <marker>
            <symbol val="none"/>
            <spPr>
              <a:ln xmlns:a="http://schemas.openxmlformats.org/drawingml/2006/main">
                <a:prstDash val="solid"/>
              </a:ln>
            </spPr>
          </marker>
          <cat>
            <numRef>
              <f>'التدفق_السنوي'!$D$3:$M$3</f>
            </numRef>
          </cat>
          <val>
            <numRef>
              <f>'التدفق_السنوي'!$I$22</f>
            </numRef>
          </val>
        </ser>
        <ser>
          <idx val="6"/>
          <order val="6"/>
          <spPr>
            <a:ln xmlns:a="http://schemas.openxmlformats.org/drawingml/2006/main">
              <a:prstDash val="solid"/>
            </a:ln>
          </spPr>
          <marker>
            <symbol val="none"/>
            <spPr>
              <a:ln xmlns:a="http://schemas.openxmlformats.org/drawingml/2006/main">
                <a:prstDash val="solid"/>
              </a:ln>
            </spPr>
          </marker>
          <cat>
            <numRef>
              <f>'التدفق_السنوي'!$D$3:$M$3</f>
            </numRef>
          </cat>
          <val>
            <numRef>
              <f>'التدفق_السنوي'!$J$22</f>
            </numRef>
          </val>
        </ser>
        <ser>
          <idx val="7"/>
          <order val="7"/>
          <spPr>
            <a:ln xmlns:a="http://schemas.openxmlformats.org/drawingml/2006/main">
              <a:prstDash val="solid"/>
            </a:ln>
          </spPr>
          <marker>
            <symbol val="none"/>
            <spPr>
              <a:ln xmlns:a="http://schemas.openxmlformats.org/drawingml/2006/main">
                <a:prstDash val="solid"/>
              </a:ln>
            </spPr>
          </marker>
          <cat>
            <numRef>
              <f>'التدفق_السنوي'!$D$3:$M$3</f>
            </numRef>
          </cat>
          <val>
            <numRef>
              <f>'التدفق_السنوي'!$K$22</f>
            </numRef>
          </val>
        </ser>
        <ser>
          <idx val="8"/>
          <order val="8"/>
          <spPr>
            <a:ln xmlns:a="http://schemas.openxmlformats.org/drawingml/2006/main">
              <a:prstDash val="solid"/>
            </a:ln>
          </spPr>
          <marker>
            <symbol val="none"/>
            <spPr>
              <a:ln xmlns:a="http://schemas.openxmlformats.org/drawingml/2006/main">
                <a:prstDash val="solid"/>
              </a:ln>
            </spPr>
          </marker>
          <cat>
            <numRef>
              <f>'التدفق_السنوي'!$D$3:$M$3</f>
            </numRef>
          </cat>
          <val>
            <numRef>
              <f>'التدفق_السنوي'!$L$22</f>
            </numRef>
          </val>
        </ser>
        <ser>
          <idx val="9"/>
          <order val="9"/>
          <spPr>
            <a:ln xmlns:a="http://schemas.openxmlformats.org/drawingml/2006/main">
              <a:prstDash val="solid"/>
            </a:ln>
          </spPr>
          <marker>
            <symbol val="none"/>
            <spPr>
              <a:ln xmlns:a="http://schemas.openxmlformats.org/drawingml/2006/main">
                <a:prstDash val="solid"/>
              </a:ln>
            </spPr>
          </marker>
          <cat>
            <numRef>
              <f>'التدفق_السنوي'!$D$3:$M$3</f>
            </numRef>
          </cat>
          <val>
            <numRef>
              <f>'التدفق_السنوي'!$M$22</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الإيرادات مقابل التكاليف و EBITDA — 10 سنوات (ج.م)</a:t>
            </a:r>
          </a:p>
        </rich>
      </tx>
    </title>
    <plotArea>
      <barChart>
        <barDir val="col"/>
        <grouping val="clustered"/>
        <ser>
          <idx val="0"/>
          <order val="0"/>
          <spPr>
            <a:ln xmlns:a="http://schemas.openxmlformats.org/drawingml/2006/main">
              <a:prstDash val="solid"/>
            </a:ln>
          </spPr>
          <cat>
            <numRef>
              <f>'التدفق_السنوي'!$D$3:$M$3</f>
            </numRef>
          </cat>
          <val>
            <numRef>
              <f>'التدفق_السنوي'!$D$10</f>
            </numRef>
          </val>
        </ser>
        <ser>
          <idx val="1"/>
          <order val="1"/>
          <spPr>
            <a:ln xmlns:a="http://schemas.openxmlformats.org/drawingml/2006/main">
              <a:prstDash val="solid"/>
            </a:ln>
          </spPr>
          <cat>
            <numRef>
              <f>'التدفق_السنوي'!$D$3:$M$3</f>
            </numRef>
          </cat>
          <val>
            <numRef>
              <f>'التدفق_السنوي'!$E$10</f>
            </numRef>
          </val>
        </ser>
        <ser>
          <idx val="2"/>
          <order val="2"/>
          <spPr>
            <a:ln xmlns:a="http://schemas.openxmlformats.org/drawingml/2006/main">
              <a:prstDash val="solid"/>
            </a:ln>
          </spPr>
          <cat>
            <numRef>
              <f>'التدفق_السنوي'!$D$3:$M$3</f>
            </numRef>
          </cat>
          <val>
            <numRef>
              <f>'التدفق_السنوي'!$F$10</f>
            </numRef>
          </val>
        </ser>
        <ser>
          <idx val="3"/>
          <order val="3"/>
          <spPr>
            <a:ln xmlns:a="http://schemas.openxmlformats.org/drawingml/2006/main">
              <a:prstDash val="solid"/>
            </a:ln>
          </spPr>
          <cat>
            <numRef>
              <f>'التدفق_السنوي'!$D$3:$M$3</f>
            </numRef>
          </cat>
          <val>
            <numRef>
              <f>'التدفق_السنوي'!$G$10</f>
            </numRef>
          </val>
        </ser>
        <ser>
          <idx val="4"/>
          <order val="4"/>
          <spPr>
            <a:ln xmlns:a="http://schemas.openxmlformats.org/drawingml/2006/main">
              <a:prstDash val="solid"/>
            </a:ln>
          </spPr>
          <cat>
            <numRef>
              <f>'التدفق_السنوي'!$D$3:$M$3</f>
            </numRef>
          </cat>
          <val>
            <numRef>
              <f>'التدفق_السنوي'!$H$10</f>
            </numRef>
          </val>
        </ser>
        <ser>
          <idx val="5"/>
          <order val="5"/>
          <spPr>
            <a:ln xmlns:a="http://schemas.openxmlformats.org/drawingml/2006/main">
              <a:prstDash val="solid"/>
            </a:ln>
          </spPr>
          <cat>
            <numRef>
              <f>'التدفق_السنوي'!$D$3:$M$3</f>
            </numRef>
          </cat>
          <val>
            <numRef>
              <f>'التدفق_السنوي'!$I$10</f>
            </numRef>
          </val>
        </ser>
        <ser>
          <idx val="6"/>
          <order val="6"/>
          <spPr>
            <a:ln xmlns:a="http://schemas.openxmlformats.org/drawingml/2006/main">
              <a:prstDash val="solid"/>
            </a:ln>
          </spPr>
          <cat>
            <numRef>
              <f>'التدفق_السنوي'!$D$3:$M$3</f>
            </numRef>
          </cat>
          <val>
            <numRef>
              <f>'التدفق_السنوي'!$J$10</f>
            </numRef>
          </val>
        </ser>
        <ser>
          <idx val="7"/>
          <order val="7"/>
          <spPr>
            <a:ln xmlns:a="http://schemas.openxmlformats.org/drawingml/2006/main">
              <a:prstDash val="solid"/>
            </a:ln>
          </spPr>
          <cat>
            <numRef>
              <f>'التدفق_السنوي'!$D$3:$M$3</f>
            </numRef>
          </cat>
          <val>
            <numRef>
              <f>'التدفق_السنوي'!$K$10</f>
            </numRef>
          </val>
        </ser>
        <ser>
          <idx val="8"/>
          <order val="8"/>
          <spPr>
            <a:ln xmlns:a="http://schemas.openxmlformats.org/drawingml/2006/main">
              <a:prstDash val="solid"/>
            </a:ln>
          </spPr>
          <cat>
            <numRef>
              <f>'التدفق_السنوي'!$D$3:$M$3</f>
            </numRef>
          </cat>
          <val>
            <numRef>
              <f>'التدفق_السنوي'!$L$10</f>
            </numRef>
          </val>
        </ser>
        <ser>
          <idx val="9"/>
          <order val="9"/>
          <spPr>
            <a:ln xmlns:a="http://schemas.openxmlformats.org/drawingml/2006/main">
              <a:prstDash val="solid"/>
            </a:ln>
          </spPr>
          <cat>
            <numRef>
              <f>'التدفق_السنوي'!$D$3:$M$3</f>
            </numRef>
          </cat>
          <val>
            <numRef>
              <f>'التدفق_السنوي'!$M$10</f>
            </numRef>
          </val>
        </ser>
        <ser>
          <idx val="10"/>
          <order val="10"/>
          <spPr>
            <a:ln xmlns:a="http://schemas.openxmlformats.org/drawingml/2006/main">
              <a:prstDash val="solid"/>
            </a:ln>
          </spPr>
          <cat>
            <numRef>
              <f>'التدفق_السنوي'!$D$3:$M$3</f>
            </numRef>
          </cat>
          <val>
            <numRef>
              <f>'التدفق_السنوي'!$D$11</f>
            </numRef>
          </val>
        </ser>
        <ser>
          <idx val="11"/>
          <order val="11"/>
          <spPr>
            <a:ln xmlns:a="http://schemas.openxmlformats.org/drawingml/2006/main">
              <a:prstDash val="solid"/>
            </a:ln>
          </spPr>
          <cat>
            <numRef>
              <f>'التدفق_السنوي'!$D$3:$M$3</f>
            </numRef>
          </cat>
          <val>
            <numRef>
              <f>'التدفق_السنوي'!$E$11</f>
            </numRef>
          </val>
        </ser>
        <ser>
          <idx val="12"/>
          <order val="12"/>
          <spPr>
            <a:ln xmlns:a="http://schemas.openxmlformats.org/drawingml/2006/main">
              <a:prstDash val="solid"/>
            </a:ln>
          </spPr>
          <cat>
            <numRef>
              <f>'التدفق_السنوي'!$D$3:$M$3</f>
            </numRef>
          </cat>
          <val>
            <numRef>
              <f>'التدفق_السنوي'!$F$11</f>
            </numRef>
          </val>
        </ser>
        <ser>
          <idx val="13"/>
          <order val="13"/>
          <spPr>
            <a:ln xmlns:a="http://schemas.openxmlformats.org/drawingml/2006/main">
              <a:prstDash val="solid"/>
            </a:ln>
          </spPr>
          <cat>
            <numRef>
              <f>'التدفق_السنوي'!$D$3:$M$3</f>
            </numRef>
          </cat>
          <val>
            <numRef>
              <f>'التدفق_السنوي'!$G$11</f>
            </numRef>
          </val>
        </ser>
        <ser>
          <idx val="14"/>
          <order val="14"/>
          <spPr>
            <a:ln xmlns:a="http://schemas.openxmlformats.org/drawingml/2006/main">
              <a:prstDash val="solid"/>
            </a:ln>
          </spPr>
          <cat>
            <numRef>
              <f>'التدفق_السنوي'!$D$3:$M$3</f>
            </numRef>
          </cat>
          <val>
            <numRef>
              <f>'التدفق_السنوي'!$H$11</f>
            </numRef>
          </val>
        </ser>
        <ser>
          <idx val="15"/>
          <order val="15"/>
          <spPr>
            <a:ln xmlns:a="http://schemas.openxmlformats.org/drawingml/2006/main">
              <a:prstDash val="solid"/>
            </a:ln>
          </spPr>
          <cat>
            <numRef>
              <f>'التدفق_السنوي'!$D$3:$M$3</f>
            </numRef>
          </cat>
          <val>
            <numRef>
              <f>'التدفق_السنوي'!$I$11</f>
            </numRef>
          </val>
        </ser>
        <ser>
          <idx val="16"/>
          <order val="16"/>
          <spPr>
            <a:ln xmlns:a="http://schemas.openxmlformats.org/drawingml/2006/main">
              <a:prstDash val="solid"/>
            </a:ln>
          </spPr>
          <cat>
            <numRef>
              <f>'التدفق_السنوي'!$D$3:$M$3</f>
            </numRef>
          </cat>
          <val>
            <numRef>
              <f>'التدفق_السنوي'!$J$11</f>
            </numRef>
          </val>
        </ser>
        <ser>
          <idx val="17"/>
          <order val="17"/>
          <spPr>
            <a:ln xmlns:a="http://schemas.openxmlformats.org/drawingml/2006/main">
              <a:prstDash val="solid"/>
            </a:ln>
          </spPr>
          <cat>
            <numRef>
              <f>'التدفق_السنوي'!$D$3:$M$3</f>
            </numRef>
          </cat>
          <val>
            <numRef>
              <f>'التدفق_السنوي'!$K$11</f>
            </numRef>
          </val>
        </ser>
        <ser>
          <idx val="18"/>
          <order val="18"/>
          <spPr>
            <a:ln xmlns:a="http://schemas.openxmlformats.org/drawingml/2006/main">
              <a:prstDash val="solid"/>
            </a:ln>
          </spPr>
          <cat>
            <numRef>
              <f>'التدفق_السنوي'!$D$3:$M$3</f>
            </numRef>
          </cat>
          <val>
            <numRef>
              <f>'التدفق_السنوي'!$L$11</f>
            </numRef>
          </val>
        </ser>
        <ser>
          <idx val="19"/>
          <order val="19"/>
          <spPr>
            <a:ln xmlns:a="http://schemas.openxmlformats.org/drawingml/2006/main">
              <a:prstDash val="solid"/>
            </a:ln>
          </spPr>
          <cat>
            <numRef>
              <f>'التدفق_السنوي'!$D$3:$M$3</f>
            </numRef>
          </cat>
          <val>
            <numRef>
              <f>'التدفق_السنوي'!$M$11</f>
            </numRef>
          </val>
        </ser>
        <ser>
          <idx val="20"/>
          <order val="20"/>
          <spPr>
            <a:ln xmlns:a="http://schemas.openxmlformats.org/drawingml/2006/main">
              <a:prstDash val="solid"/>
            </a:ln>
          </spPr>
          <cat>
            <numRef>
              <f>'التدفق_السنوي'!$D$3:$M$3</f>
            </numRef>
          </cat>
          <val>
            <numRef>
              <f>'التدفق_السنوي'!$D$13</f>
            </numRef>
          </val>
        </ser>
        <ser>
          <idx val="21"/>
          <order val="21"/>
          <spPr>
            <a:ln xmlns:a="http://schemas.openxmlformats.org/drawingml/2006/main">
              <a:prstDash val="solid"/>
            </a:ln>
          </spPr>
          <cat>
            <numRef>
              <f>'التدفق_السنوي'!$D$3:$M$3</f>
            </numRef>
          </cat>
          <val>
            <numRef>
              <f>'التدفق_السنوي'!$E$13</f>
            </numRef>
          </val>
        </ser>
        <ser>
          <idx val="22"/>
          <order val="22"/>
          <spPr>
            <a:ln xmlns:a="http://schemas.openxmlformats.org/drawingml/2006/main">
              <a:prstDash val="solid"/>
            </a:ln>
          </spPr>
          <cat>
            <numRef>
              <f>'التدفق_السنوي'!$D$3:$M$3</f>
            </numRef>
          </cat>
          <val>
            <numRef>
              <f>'التدفق_السنوي'!$F$13</f>
            </numRef>
          </val>
        </ser>
        <ser>
          <idx val="23"/>
          <order val="23"/>
          <spPr>
            <a:ln xmlns:a="http://schemas.openxmlformats.org/drawingml/2006/main">
              <a:prstDash val="solid"/>
            </a:ln>
          </spPr>
          <cat>
            <numRef>
              <f>'التدفق_السنوي'!$D$3:$M$3</f>
            </numRef>
          </cat>
          <val>
            <numRef>
              <f>'التدفق_السنوي'!$G$13</f>
            </numRef>
          </val>
        </ser>
        <ser>
          <idx val="24"/>
          <order val="24"/>
          <spPr>
            <a:ln xmlns:a="http://schemas.openxmlformats.org/drawingml/2006/main">
              <a:prstDash val="solid"/>
            </a:ln>
          </spPr>
          <cat>
            <numRef>
              <f>'التدفق_السنوي'!$D$3:$M$3</f>
            </numRef>
          </cat>
          <val>
            <numRef>
              <f>'التدفق_السنوي'!$H$13</f>
            </numRef>
          </val>
        </ser>
        <ser>
          <idx val="25"/>
          <order val="25"/>
          <spPr>
            <a:ln xmlns:a="http://schemas.openxmlformats.org/drawingml/2006/main">
              <a:prstDash val="solid"/>
            </a:ln>
          </spPr>
          <cat>
            <numRef>
              <f>'التدفق_السنوي'!$D$3:$M$3</f>
            </numRef>
          </cat>
          <val>
            <numRef>
              <f>'التدفق_السنوي'!$I$13</f>
            </numRef>
          </val>
        </ser>
        <ser>
          <idx val="26"/>
          <order val="26"/>
          <spPr>
            <a:ln xmlns:a="http://schemas.openxmlformats.org/drawingml/2006/main">
              <a:prstDash val="solid"/>
            </a:ln>
          </spPr>
          <cat>
            <numRef>
              <f>'التدفق_السنوي'!$D$3:$M$3</f>
            </numRef>
          </cat>
          <val>
            <numRef>
              <f>'التدفق_السنوي'!$J$13</f>
            </numRef>
          </val>
        </ser>
        <ser>
          <idx val="27"/>
          <order val="27"/>
          <spPr>
            <a:ln xmlns:a="http://schemas.openxmlformats.org/drawingml/2006/main">
              <a:prstDash val="solid"/>
            </a:ln>
          </spPr>
          <cat>
            <numRef>
              <f>'التدفق_السنوي'!$D$3:$M$3</f>
            </numRef>
          </cat>
          <val>
            <numRef>
              <f>'التدفق_السنوي'!$K$13</f>
            </numRef>
          </val>
        </ser>
        <ser>
          <idx val="28"/>
          <order val="28"/>
          <spPr>
            <a:ln xmlns:a="http://schemas.openxmlformats.org/drawingml/2006/main">
              <a:prstDash val="solid"/>
            </a:ln>
          </spPr>
          <cat>
            <numRef>
              <f>'التدفق_السنوي'!$D$3:$M$3</f>
            </numRef>
          </cat>
          <val>
            <numRef>
              <f>'التدفق_السنوي'!$L$13</f>
            </numRef>
          </val>
        </ser>
        <ser>
          <idx val="29"/>
          <order val="29"/>
          <spPr>
            <a:ln xmlns:a="http://schemas.openxmlformats.org/drawingml/2006/main">
              <a:prstDash val="solid"/>
            </a:ln>
          </spPr>
          <cat>
            <numRef>
              <f>'التدفق_السنوي'!$D$3:$M$3</f>
            </numRef>
          </cat>
          <val>
            <numRef>
              <f>'التدفق_السنوي'!$M$13</f>
            </numRef>
          </val>
        </ser>
        <ser>
          <idx val="30"/>
          <order val="30"/>
          <spPr>
            <a:ln xmlns:a="http://schemas.openxmlformats.org/drawingml/2006/main">
              <a:prstDash val="solid"/>
            </a:ln>
          </spPr>
          <cat>
            <numRef>
              <f>'التدفق_السنوي'!$D$3:$M$3</f>
            </numRef>
          </cat>
          <val>
            <numRef>
              <f>'التدفق_السنوي'!$D$14</f>
            </numRef>
          </val>
        </ser>
        <ser>
          <idx val="31"/>
          <order val="31"/>
          <spPr>
            <a:ln xmlns:a="http://schemas.openxmlformats.org/drawingml/2006/main">
              <a:prstDash val="solid"/>
            </a:ln>
          </spPr>
          <cat>
            <numRef>
              <f>'التدفق_السنوي'!$D$3:$M$3</f>
            </numRef>
          </cat>
          <val>
            <numRef>
              <f>'التدفق_السنوي'!$E$14</f>
            </numRef>
          </val>
        </ser>
        <ser>
          <idx val="32"/>
          <order val="32"/>
          <spPr>
            <a:ln xmlns:a="http://schemas.openxmlformats.org/drawingml/2006/main">
              <a:prstDash val="solid"/>
            </a:ln>
          </spPr>
          <cat>
            <numRef>
              <f>'التدفق_السنوي'!$D$3:$M$3</f>
            </numRef>
          </cat>
          <val>
            <numRef>
              <f>'التدفق_السنوي'!$F$14</f>
            </numRef>
          </val>
        </ser>
        <ser>
          <idx val="33"/>
          <order val="33"/>
          <spPr>
            <a:ln xmlns:a="http://schemas.openxmlformats.org/drawingml/2006/main">
              <a:prstDash val="solid"/>
            </a:ln>
          </spPr>
          <cat>
            <numRef>
              <f>'التدفق_السنوي'!$D$3:$M$3</f>
            </numRef>
          </cat>
          <val>
            <numRef>
              <f>'التدفق_السنوي'!$G$14</f>
            </numRef>
          </val>
        </ser>
        <ser>
          <idx val="34"/>
          <order val="34"/>
          <spPr>
            <a:ln xmlns:a="http://schemas.openxmlformats.org/drawingml/2006/main">
              <a:prstDash val="solid"/>
            </a:ln>
          </spPr>
          <cat>
            <numRef>
              <f>'التدفق_السنوي'!$D$3:$M$3</f>
            </numRef>
          </cat>
          <val>
            <numRef>
              <f>'التدفق_السنوي'!$H$14</f>
            </numRef>
          </val>
        </ser>
        <ser>
          <idx val="35"/>
          <order val="35"/>
          <spPr>
            <a:ln xmlns:a="http://schemas.openxmlformats.org/drawingml/2006/main">
              <a:prstDash val="solid"/>
            </a:ln>
          </spPr>
          <cat>
            <numRef>
              <f>'التدفق_السنوي'!$D$3:$M$3</f>
            </numRef>
          </cat>
          <val>
            <numRef>
              <f>'التدفق_السنوي'!$I$14</f>
            </numRef>
          </val>
        </ser>
        <ser>
          <idx val="36"/>
          <order val="36"/>
          <spPr>
            <a:ln xmlns:a="http://schemas.openxmlformats.org/drawingml/2006/main">
              <a:prstDash val="solid"/>
            </a:ln>
          </spPr>
          <cat>
            <numRef>
              <f>'التدفق_السنوي'!$D$3:$M$3</f>
            </numRef>
          </cat>
          <val>
            <numRef>
              <f>'التدفق_السنوي'!$J$14</f>
            </numRef>
          </val>
        </ser>
        <ser>
          <idx val="37"/>
          <order val="37"/>
          <spPr>
            <a:ln xmlns:a="http://schemas.openxmlformats.org/drawingml/2006/main">
              <a:prstDash val="solid"/>
            </a:ln>
          </spPr>
          <cat>
            <numRef>
              <f>'التدفق_السنوي'!$D$3:$M$3</f>
            </numRef>
          </cat>
          <val>
            <numRef>
              <f>'التدفق_السنوي'!$K$14</f>
            </numRef>
          </val>
        </ser>
        <ser>
          <idx val="38"/>
          <order val="38"/>
          <spPr>
            <a:ln xmlns:a="http://schemas.openxmlformats.org/drawingml/2006/main">
              <a:prstDash val="solid"/>
            </a:ln>
          </spPr>
          <cat>
            <numRef>
              <f>'التدفق_السنوي'!$D$3:$M$3</f>
            </numRef>
          </cat>
          <val>
            <numRef>
              <f>'التدفق_السنوي'!$L$14</f>
            </numRef>
          </val>
        </ser>
        <ser>
          <idx val="39"/>
          <order val="39"/>
          <spPr>
            <a:ln xmlns:a="http://schemas.openxmlformats.org/drawingml/2006/main">
              <a:prstDash val="solid"/>
            </a:ln>
          </spPr>
          <cat>
            <numRef>
              <f>'التدفق_السنوي'!$D$3:$M$3</f>
            </numRef>
          </cat>
          <val>
            <numRef>
              <f>'التدفق_السنوي'!$M$14</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مزيج الإيراد — سنة 1</a:t>
            </a:r>
          </a:p>
        </rich>
      </tx>
    </title>
    <plotArea>
      <pieChart>
        <varyColors val="1"/>
        <ser>
          <idx val="0"/>
          <order val="0"/>
          <spPr>
            <a:ln xmlns:a="http://schemas.openxmlformats.org/drawingml/2006/main">
              <a:prstDash val="solid"/>
            </a:ln>
          </spPr>
          <cat>
            <numRef>
              <f>'الملخص'!$B$41:$B$43</f>
            </numRef>
          </cat>
          <val>
            <numRef>
              <f>'الملخص'!$C$41:$C$43</f>
            </numRef>
          </val>
        </ser>
        <firstSliceAng val="0"/>
      </pieChart>
    </plotArea>
    <legend>
      <legendPos val="r"/>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ترتيب المخاطر — أثر ±10% على NPV (ج.م)</a:t>
            </a:r>
          </a:p>
        </rich>
      </tx>
    </title>
    <plotArea>
      <barChart>
        <barDir val="bar"/>
        <grouping val="clustered"/>
        <ser>
          <idx val="0"/>
          <order val="0"/>
          <spPr>
            <a:ln xmlns:a="http://schemas.openxmlformats.org/drawingml/2006/main">
              <a:prstDash val="solid"/>
            </a:ln>
          </spPr>
          <cat>
            <numRef>
              <f>'الحساسية'!$B$24:$B$29</f>
            </numRef>
          </cat>
          <val>
            <numRef>
              <f>'الحساسية'!$C$24:$C$29</f>
            </numRef>
          </val>
        </ser>
        <ser>
          <idx val="1"/>
          <order val="1"/>
          <spPr>
            <a:ln xmlns:a="http://schemas.openxmlformats.org/drawingml/2006/main">
              <a:prstDash val="solid"/>
            </a:ln>
          </spPr>
          <cat>
            <numRef>
              <f>'الحساسية'!$B$24:$B$29</f>
            </numRef>
          </cat>
          <val>
            <numRef>
              <f>'الحساسية'!$D$24:$D$29</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s>
</file>

<file path=xl/drawings/drawing1.xml><?xml version="1.0" encoding="utf-8"?>
<wsDr xmlns="http://schemas.openxmlformats.org/drawingml/2006/spreadsheetDrawing">
  <oneCellAnchor>
    <from>
      <col>1</col>
      <colOff>0</colOff>
      <row>41</row>
      <rowOff>0</rowOff>
    </from>
    <ext cx="792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60</row>
      <rowOff>0</rowOff>
    </from>
    <ext cx="7920000" cy="306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79</row>
      <rowOff>0</rowOff>
    </from>
    <ext cx="7920000" cy="324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1</col>
      <colOff>0</colOff>
      <row>99</row>
      <rowOff>0</rowOff>
    </from>
    <ext cx="4320000" cy="288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1</col>
      <colOff>0</colOff>
      <row>119</row>
      <rowOff>0</rowOff>
    </from>
    <ext cx="7200000" cy="3240000"/>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C00000"/>
    <outlinePr summaryBelow="1" summaryRight="1"/>
    <pageSetUpPr/>
  </sheetPr>
  <dimension ref="B1:L43"/>
  <sheetViews>
    <sheetView showGridLines="0" rightToLeft="1" workbookViewId="0">
      <selection activeCell="A1" sqref="A1"/>
    </sheetView>
  </sheetViews>
  <sheetFormatPr baseColWidth="8" defaultRowHeight="15"/>
  <cols>
    <col width="2.5" customWidth="1" min="1" max="1"/>
    <col width="50" customWidth="1" min="2" max="2"/>
    <col width="22" customWidth="1" min="3" max="3"/>
    <col width="22" customWidth="1" min="4" max="4"/>
    <col width="22" customWidth="1" min="5" max="5"/>
    <col width="46" customWidth="1" min="6" max="6"/>
  </cols>
  <sheetData>
    <row r="1" ht="34" customHeight="1">
      <c r="B1" s="1" t="inlineStr">
        <is>
          <t>الملخص التنفيذي — مراجعة دراسة جدوى مشروع تعبئة الأرز والأعلاف</t>
        </is>
      </c>
      <c r="C1" s="2" t="n"/>
      <c r="D1" s="2" t="n"/>
      <c r="E1" s="2" t="n"/>
      <c r="F1" s="2" t="n"/>
    </row>
    <row r="2">
      <c r="B2" s="3" t="inlineStr">
        <is>
          <t>تاريخ المراجعة: 23 سبتمبر 2026 · العملة: الجنيه المصري · المصدر: ملف «دراسة جدول لمشروع ارز واعلاف»</t>
        </is>
      </c>
    </row>
    <row r="4">
      <c r="B4" s="4" t="inlineStr">
        <is>
          <t>الحكم النهائي</t>
        </is>
      </c>
    </row>
    <row r="5">
      <c r="B5" s="5" t="inlineStr">
        <is>
          <t>النموذج الأولي للمشروع غير قابل للاعتماد في صورته الحالية. معدل العائد الداخلي المعدّل ≈ 10–11% (مقابل 65.7% معلن) وصافي القيمة الحالية سالب عند معدل خصم 16–25%، أي أن المشروع لا يغطي تكلفة الأموال. السبب ليس فكرة المشروع بل ثلاث ثغرات منهجية: (1) إغفال الضريبة ورأس المال العامل الحقيقي، (2) افتراض نسبة استرداد أرز 67.3% أعلى من المدى العملي، (3) إغفال نحو 500,000 ج/سنة من تكاليف ثابتة تشغيلية. المشروع يمكن أن يصبح مجدياً فقط إذا نُفّذت بنود خطة التعديل 1–8 (اختبار التصنيع، تثبيت الأسعار، تخفيض CAPEX 15–25%، رفع سعر البيع بالتعبئة التجزئية، وإعادة تقييم نطاق مصنع العلف).</t>
        </is>
      </c>
      <c r="C5" s="6" t="n"/>
      <c r="D5" s="6" t="n"/>
      <c r="E5" s="6" t="n"/>
      <c r="F5" s="6" t="n"/>
    </row>
    <row r="6">
      <c r="B6" s="6" t="n"/>
      <c r="C6" s="6" t="n"/>
      <c r="D6" s="6" t="n"/>
      <c r="E6" s="6" t="n"/>
      <c r="F6" s="6" t="n"/>
    </row>
    <row r="7">
      <c r="B7" s="6" t="n"/>
      <c r="C7" s="6" t="n"/>
      <c r="D7" s="6" t="n"/>
      <c r="E7" s="6" t="n"/>
      <c r="F7" s="6" t="n"/>
    </row>
    <row r="8">
      <c r="B8" s="6" t="n"/>
      <c r="C8" s="6" t="n"/>
      <c r="D8" s="6" t="n"/>
      <c r="E8" s="6" t="n"/>
      <c r="F8" s="6" t="n"/>
    </row>
    <row r="9">
      <c r="B9" s="6" t="n"/>
      <c r="C9" s="6" t="n"/>
      <c r="D9" s="6" t="n"/>
      <c r="E9" s="6" t="n"/>
      <c r="F9" s="6" t="n"/>
    </row>
    <row r="11">
      <c r="B11" s="7" t="inlineStr">
        <is>
          <t>المؤشر</t>
        </is>
      </c>
      <c r="C11" s="7" t="inlineStr">
        <is>
          <t>الدراسة الأصلية</t>
        </is>
      </c>
      <c r="D11" s="7" t="inlineStr">
        <is>
          <t>المراجعة المعدّلة</t>
        </is>
      </c>
      <c r="E11" s="7" t="inlineStr">
        <is>
          <t>الفرق</t>
        </is>
      </c>
      <c r="F11" s="7" t="inlineStr">
        <is>
          <t>التعليق الحاكم</t>
        </is>
      </c>
    </row>
    <row r="12">
      <c r="B12" s="8" t="inlineStr">
        <is>
          <t>إجمالي الاستثمار الرأسمالي CAPEX (ج.م)</t>
        </is>
      </c>
      <c r="C12" s="9" t="n">
        <v>1520000</v>
      </c>
      <c r="D12" s="10">
        <f>'CAPEX'!$C$37</f>
        <v/>
      </c>
      <c r="E12" s="11">
        <f>IF(ISNUMBER(C12)*ISNUMBER(D12),D12-C12,"—")</f>
        <v/>
      </c>
      <c r="F12" s="12" t="inlineStr">
        <is>
          <t>إضافة الأعمال المدنية والتركيب والطوارئ وقطع الغيار والمختبر</t>
        </is>
      </c>
    </row>
    <row r="13">
      <c r="B13" s="8" t="inlineStr">
        <is>
          <t>رأس المال العامل التشغيلي (ج.م)</t>
        </is>
      </c>
      <c r="C13" s="9" t="n">
        <v>1091450</v>
      </c>
      <c r="D13" s="10">
        <f>'التدفق_الشهري'!$D$33</f>
        <v/>
      </c>
      <c r="E13" s="11">
        <f>IF(ISNUMBER(C13)*ISNUMBER(D13),D13-C13,"—")</f>
        <v/>
      </c>
      <c r="F13" s="12" t="inlineStr">
        <is>
          <t>مخزون شعير 45 يوماً + مدينون 30 يوماً − دائنون 15 يوماً</t>
        </is>
      </c>
    </row>
    <row r="14">
      <c r="B14" s="8" t="inlineStr">
        <is>
          <t>إجمالي الاستثمار المبدئي (ج.م)</t>
        </is>
      </c>
      <c r="C14" s="9" t="n">
        <v>2611450</v>
      </c>
      <c r="D14" s="10">
        <f>'المؤشرات'!$C$10</f>
        <v/>
      </c>
      <c r="E14" s="11">
        <f>IF(ISNUMBER(C14)*ISNUMBER(D14),D14-C14,"—")</f>
        <v/>
      </c>
      <c r="F14" s="12" t="inlineStr">
        <is>
          <t>فجوة تمويل تتجاوز 1.4 مليون ج</t>
        </is>
      </c>
    </row>
    <row r="15">
      <c r="B15" s="8" t="inlineStr">
        <is>
          <t>الإيراد السنوي سنة 1 (ج.م)</t>
        </is>
      </c>
      <c r="C15" s="9" t="n">
        <v>14610000</v>
      </c>
      <c r="D15" s="10">
        <f>'التدفق_السنوي'!D10</f>
        <v/>
      </c>
      <c r="E15" s="11">
        <f>IF(ISNUMBER(C15)*ISNUMBER(D15),D15-C15,"—")</f>
        <v/>
      </c>
      <c r="F15" s="12" t="inlineStr">
        <is>
          <t>أثر نسبة الاسترداد الأقل وحجم دفعة العلف الأدنى</t>
        </is>
      </c>
    </row>
    <row r="16">
      <c r="B16" s="8" t="inlineStr">
        <is>
          <t>إجمالي التكاليف المتغيرة (ج.م)</t>
        </is>
      </c>
      <c r="C16" s="9" t="n">
        <v>11915400</v>
      </c>
      <c r="D16" s="10">
        <f>'التدفق_السنوي'!D11</f>
        <v/>
      </c>
      <c r="E16" s="11">
        <f>IF(ISNUMBER(C16)*ISNUMBER(D16),D16-C16,"—")</f>
        <v/>
      </c>
      <c r="F16" s="12" t="inlineStr">
        <is>
          <t>إعادة تسعير الذرة وكسب الصويا</t>
        </is>
      </c>
    </row>
    <row r="17">
      <c r="B17" s="8" t="inlineStr">
        <is>
          <t>إجمالي التكاليف الثابتة (ج.م)</t>
        </is>
      </c>
      <c r="C17" s="9" t="n">
        <v>1182000</v>
      </c>
      <c r="D17" s="10">
        <f>'التدفق_السنوي'!D13</f>
        <v/>
      </c>
      <c r="E17" s="11">
        <f>IF(ISNUMBER(C17)*ISNUMBER(D17),D17-C17,"—")</f>
        <v/>
      </c>
      <c r="F17" s="12" t="inlineStr">
        <is>
          <t>⚠ +42% بنود تشغيلية مغفلة (تأمينات، إدارة، جودة، إحلال)</t>
        </is>
      </c>
    </row>
    <row r="18">
      <c r="B18" s="8" t="inlineStr">
        <is>
          <t>EBITDA سنة 1 (ج.م)</t>
        </is>
      </c>
      <c r="C18" s="9" t="n">
        <v>1512600</v>
      </c>
      <c r="D18" s="10">
        <f>'التدفق_السنوي'!D14</f>
        <v/>
      </c>
      <c r="E18" s="11">
        <f>IF(ISNUMBER(C18)*ISNUMBER(D18),D18-C18,"—")</f>
        <v/>
      </c>
      <c r="F18" s="12" t="inlineStr">
        <is>
          <t>الفرق الجوهري في النتيجة النهائية</t>
        </is>
      </c>
    </row>
    <row r="19">
      <c r="B19" s="8" t="inlineStr">
        <is>
          <t>هامش EBITDA</t>
        </is>
      </c>
      <c r="C19" s="13" t="n">
        <v>0.1035</v>
      </c>
      <c r="D19" s="14">
        <f>'التدفق_السنوي'!D14/'التدفق_السنوي'!D10</f>
        <v/>
      </c>
      <c r="E19" s="15">
        <f>IF(ISNUMBER(C19)*ISNUMBER(D19),D19-C19,"—")</f>
        <v/>
      </c>
      <c r="F19" s="12" t="inlineStr">
        <is>
          <t>صناعة ضرب الأرز تعمل عادة بهوامش 5–10%</t>
        </is>
      </c>
    </row>
    <row r="20">
      <c r="B20" s="8" t="inlineStr">
        <is>
          <t>صافي الربح بعد الضريبة سنة 1 (ج.م)</t>
        </is>
      </c>
      <c r="C20" s="9" t="n">
        <v>1260600</v>
      </c>
      <c r="D20" s="10">
        <f>'التدفق_السنوي'!D18</f>
        <v/>
      </c>
      <c r="E20" s="11">
        <f>IF(ISNUMBER(C20)*ISNUMBER(D20),D20-C20,"—")</f>
        <v/>
      </c>
      <c r="F20" s="12" t="inlineStr">
        <is>
          <t>بعد تطبيق ضريبة 22.5% بدلاً من خصم ثابت 100,000 ج</t>
        </is>
      </c>
    </row>
    <row r="21">
      <c r="B21" s="8" t="inlineStr">
        <is>
          <t>صافي القيمة الحالية NPV @ 12% (ج.م)</t>
        </is>
      </c>
      <c r="C21" s="9" t="n">
        <v>9335244</v>
      </c>
      <c r="D21" s="10">
        <f>NPV(0.12,'التدفق_السنوي'!D21:M21)+'التدفق_السنوي'!C21</f>
        <v/>
      </c>
      <c r="E21" s="11">
        <f>IF(ISNUMBER(C21)*ISNUMBER(D21),D21-C21,"—")</f>
        <v/>
      </c>
      <c r="F21" s="12" t="inlineStr">
        <is>
          <t>حتى عند معدل خصم الدراسة (12%) لا يُنقذ المشروع</t>
        </is>
      </c>
    </row>
    <row r="22">
      <c r="B22" s="8" t="inlineStr">
        <is>
          <t>صافي القيمة الحالية NPV @ معدل الخصم المعتمد (ج.م)</t>
        </is>
      </c>
      <c r="C22" s="9" t="n">
        <v>9335244</v>
      </c>
      <c r="D22" s="10">
        <f>'المؤشرات'!$C$21</f>
        <v/>
      </c>
      <c r="E22" s="11">
        <f>IF(ISNUMBER(C22)*ISNUMBER(D22),D22-C22,"—")</f>
        <v/>
      </c>
      <c r="F22" s="12" t="inlineStr">
        <is>
          <t>سالبة = المشروع لا يخلق قيمة</t>
        </is>
      </c>
    </row>
    <row r="23">
      <c r="B23" s="8" t="inlineStr">
        <is>
          <t>معدل العائد الداخلي IRR</t>
        </is>
      </c>
      <c r="C23" s="13" t="n">
        <v>0.6571</v>
      </c>
      <c r="D23" s="14">
        <f>'المؤشرات'!$C$22</f>
        <v/>
      </c>
      <c r="E23" s="15">
        <f>IF(ISNUMBER(C23)*ISNUMBER(D23),D23-C23,"—")</f>
        <v/>
      </c>
      <c r="F23" s="12" t="inlineStr">
        <is>
          <t>⚠ الفرق الأكبر في المراجعة</t>
        </is>
      </c>
    </row>
    <row r="24">
      <c r="B24" s="8" t="inlineStr">
        <is>
          <t>فترة الاسترداد (سنة)</t>
        </is>
      </c>
      <c r="C24" s="16" t="n">
        <v>1.73</v>
      </c>
      <c r="D24" s="17">
        <f>'المؤشرات'!$C$30</f>
        <v/>
      </c>
      <c r="E24" s="18">
        <f>IF(ISNUMBER(C24)*ISNUMBER(D24),D24-C24,"—")</f>
        <v/>
      </c>
      <c r="F24" s="12" t="inlineStr">
        <is>
          <t>الدراسة حسبتها على CAPEX فقط وبدون خصم</t>
        </is>
      </c>
    </row>
    <row r="25">
      <c r="B25" s="8" t="inlineStr">
        <is>
          <t>نسبة الاستغلال عند التعادل</t>
        </is>
      </c>
      <c r="C25" s="13" t="n">
        <v>0.4387</v>
      </c>
      <c r="D25" s="14">
        <f>'المؤشرات'!$C$40/'OPEX'!$C$7</f>
        <v/>
      </c>
      <c r="E25" s="15">
        <f>IF(ISNUMBER(C25)*ISNUMBER(D25),D25-C25,"—")</f>
        <v/>
      </c>
      <c r="F25" s="12" t="inlineStr">
        <is>
          <t>هامش أمان 37% فقط بالكمية</t>
        </is>
      </c>
    </row>
    <row r="26">
      <c r="B26" s="8" t="inlineStr">
        <is>
          <t>EBITDA لكل طن شعير (ج.م)</t>
        </is>
      </c>
      <c r="C26" s="16" t="n">
        <v>2424</v>
      </c>
      <c r="D26" s="17">
        <f>'تكلفة_الوحدة'!$C$18</f>
        <v/>
      </c>
      <c r="E26" s="18">
        <f>IF(ISNUMBER(C26)*ISNUMBER(D26),D26-C26,"—")</f>
        <v/>
      </c>
      <c r="F26" s="12" t="inlineStr">
        <is>
          <t>المؤشر الأصدق لمقارنة الكفاءة</t>
        </is>
      </c>
    </row>
    <row r="31">
      <c r="B31" s="19" t="inlineStr">
        <is>
          <t>بيانات المخططات (مرتبطة بالنموذج)</t>
        </is>
      </c>
    </row>
    <row r="32">
      <c r="B32" s="20" t="inlineStr">
        <is>
          <t>السنة</t>
        </is>
      </c>
      <c r="C32" s="21" t="n">
        <v>1</v>
      </c>
      <c r="D32" s="21" t="n">
        <v>2</v>
      </c>
      <c r="E32" s="21" t="n">
        <v>3</v>
      </c>
      <c r="F32" s="21" t="n">
        <v>4</v>
      </c>
      <c r="G32" s="21" t="n">
        <v>5</v>
      </c>
      <c r="H32" s="21" t="n">
        <v>6</v>
      </c>
      <c r="I32" s="21" t="n">
        <v>7</v>
      </c>
      <c r="J32" s="21" t="n">
        <v>8</v>
      </c>
      <c r="K32" s="21" t="n">
        <v>9</v>
      </c>
      <c r="L32" s="21" t="n">
        <v>10</v>
      </c>
    </row>
    <row r="33">
      <c r="B33" s="22" t="inlineStr">
        <is>
          <t>صافي التدفق النقدي الحر (ج.م)</t>
        </is>
      </c>
      <c r="C33" s="23">
        <f>'التدفق_السنوي'!D21</f>
        <v/>
      </c>
      <c r="D33" s="23">
        <f>'التدفق_السنوي'!E21</f>
        <v/>
      </c>
      <c r="E33" s="23">
        <f>'التدفق_السنوي'!F21</f>
        <v/>
      </c>
      <c r="F33" s="23">
        <f>'التدفق_السنوي'!G21</f>
        <v/>
      </c>
      <c r="G33" s="23">
        <f>'التدفق_السنوي'!H21</f>
        <v/>
      </c>
      <c r="H33" s="23">
        <f>'التدفق_السنوي'!I21</f>
        <v/>
      </c>
      <c r="I33" s="23">
        <f>'التدفق_السنوي'!J21</f>
        <v/>
      </c>
      <c r="J33" s="23">
        <f>'التدفق_السنوي'!K21</f>
        <v/>
      </c>
      <c r="K33" s="23">
        <f>'التدفق_السنوي'!L21</f>
        <v/>
      </c>
      <c r="L33" s="23">
        <f>'التدفق_السنوي'!M21</f>
        <v/>
      </c>
    </row>
    <row r="34">
      <c r="B34" s="22" t="inlineStr">
        <is>
          <t>التدفق النقدي التراكمي (ج.م)</t>
        </is>
      </c>
      <c r="C34" s="23">
        <f>'التدفق_السنوي'!D22</f>
        <v/>
      </c>
      <c r="D34" s="23">
        <f>'التدفق_السنوي'!E22</f>
        <v/>
      </c>
      <c r="E34" s="23">
        <f>'التدفق_السنوي'!F22</f>
        <v/>
      </c>
      <c r="F34" s="23">
        <f>'التدفق_السنوي'!G22</f>
        <v/>
      </c>
      <c r="G34" s="23">
        <f>'التدفق_السنوي'!H22</f>
        <v/>
      </c>
      <c r="H34" s="23">
        <f>'التدفق_السنوي'!I22</f>
        <v/>
      </c>
      <c r="I34" s="23">
        <f>'التدفق_السنوي'!J22</f>
        <v/>
      </c>
      <c r="J34" s="23">
        <f>'التدفق_السنوي'!K22</f>
        <v/>
      </c>
      <c r="K34" s="23">
        <f>'التدفق_السنوي'!L22</f>
        <v/>
      </c>
      <c r="L34" s="23">
        <f>'التدفق_السنوي'!M22</f>
        <v/>
      </c>
    </row>
    <row r="35">
      <c r="B35" s="22" t="inlineStr">
        <is>
          <t>الإيرادات (ج.م)</t>
        </is>
      </c>
      <c r="C35" s="23">
        <f>'التدفق_السنوي'!D10</f>
        <v/>
      </c>
      <c r="D35" s="23">
        <f>'التدفق_السنوي'!E10</f>
        <v/>
      </c>
      <c r="E35" s="23">
        <f>'التدفق_السنوي'!F10</f>
        <v/>
      </c>
      <c r="F35" s="23">
        <f>'التدفق_السنوي'!G10</f>
        <v/>
      </c>
      <c r="G35" s="23">
        <f>'التدفق_السنوي'!H10</f>
        <v/>
      </c>
      <c r="H35" s="23">
        <f>'التدفق_السنوي'!I10</f>
        <v/>
      </c>
      <c r="I35" s="23">
        <f>'التدفق_السنوي'!J10</f>
        <v/>
      </c>
      <c r="J35" s="23">
        <f>'التدفق_السنوي'!K10</f>
        <v/>
      </c>
      <c r="K35" s="23">
        <f>'التدفق_السنوي'!L10</f>
        <v/>
      </c>
      <c r="L35" s="23">
        <f>'التدفق_السنوي'!M10</f>
        <v/>
      </c>
    </row>
    <row r="36">
      <c r="B36" s="22" t="inlineStr">
        <is>
          <t>التكاليف المتغيرة (ج.م)</t>
        </is>
      </c>
      <c r="C36" s="23">
        <f>'التدفق_السنوي'!D11</f>
        <v/>
      </c>
      <c r="D36" s="23">
        <f>'التدفق_السنوي'!E11</f>
        <v/>
      </c>
      <c r="E36" s="23">
        <f>'التدفق_السنوي'!F11</f>
        <v/>
      </c>
      <c r="F36" s="23">
        <f>'التدفق_السنوي'!G11</f>
        <v/>
      </c>
      <c r="G36" s="23">
        <f>'التدفق_السنوي'!H11</f>
        <v/>
      </c>
      <c r="H36" s="23">
        <f>'التدفق_السنوي'!I11</f>
        <v/>
      </c>
      <c r="I36" s="23">
        <f>'التدفق_السنوي'!J11</f>
        <v/>
      </c>
      <c r="J36" s="23">
        <f>'التدفق_السنوي'!K11</f>
        <v/>
      </c>
      <c r="K36" s="23">
        <f>'التدفق_السنوي'!L11</f>
        <v/>
      </c>
      <c r="L36" s="23">
        <f>'التدفق_السنوي'!M11</f>
        <v/>
      </c>
    </row>
    <row r="37">
      <c r="B37" s="22" t="inlineStr">
        <is>
          <t>التكاليف الثابتة (ج.م)</t>
        </is>
      </c>
      <c r="C37" s="23">
        <f>'التدفق_السنوي'!D13</f>
        <v/>
      </c>
      <c r="D37" s="23">
        <f>'التدفق_السنوي'!E13</f>
        <v/>
      </c>
      <c r="E37" s="23">
        <f>'التدفق_السنوي'!F13</f>
        <v/>
      </c>
      <c r="F37" s="23">
        <f>'التدفق_السنوي'!G13</f>
        <v/>
      </c>
      <c r="G37" s="23">
        <f>'التدفق_السنوي'!H13</f>
        <v/>
      </c>
      <c r="H37" s="23">
        <f>'التدفق_السنوي'!I13</f>
        <v/>
      </c>
      <c r="I37" s="23">
        <f>'التدفق_السنوي'!J13</f>
        <v/>
      </c>
      <c r="J37" s="23">
        <f>'التدفق_السنوي'!K13</f>
        <v/>
      </c>
      <c r="K37" s="23">
        <f>'التدفق_السنوي'!L13</f>
        <v/>
      </c>
      <c r="L37" s="23">
        <f>'التدفق_السنوي'!M13</f>
        <v/>
      </c>
    </row>
    <row r="38">
      <c r="B38" s="22" t="inlineStr">
        <is>
          <t>EBITDA (ج.م)</t>
        </is>
      </c>
      <c r="C38" s="23">
        <f>'التدفق_السنوي'!D14</f>
        <v/>
      </c>
      <c r="D38" s="23">
        <f>'التدفق_السنوي'!E14</f>
        <v/>
      </c>
      <c r="E38" s="23">
        <f>'التدفق_السنوي'!F14</f>
        <v/>
      </c>
      <c r="F38" s="23">
        <f>'التدفق_السنوي'!G14</f>
        <v/>
      </c>
      <c r="G38" s="23">
        <f>'التدفق_السنوي'!H14</f>
        <v/>
      </c>
      <c r="H38" s="23">
        <f>'التدفق_السنوي'!I14</f>
        <v/>
      </c>
      <c r="I38" s="23">
        <f>'التدفق_السنوي'!J14</f>
        <v/>
      </c>
      <c r="J38" s="23">
        <f>'التدفق_السنوي'!K14</f>
        <v/>
      </c>
      <c r="K38" s="23">
        <f>'التدفق_السنوي'!L14</f>
        <v/>
      </c>
      <c r="L38" s="23">
        <f>'التدفق_السنوي'!M14</f>
        <v/>
      </c>
    </row>
    <row r="40">
      <c r="B40" s="20" t="inlineStr">
        <is>
          <t>مزيج الإيراد سنة 1</t>
        </is>
      </c>
    </row>
    <row r="41">
      <c r="B41" s="24" t="inlineStr">
        <is>
          <t>الأرز الأبيض</t>
        </is>
      </c>
      <c r="C41" s="23">
        <f>'الإيرادات'!$C$16*12</f>
        <v/>
      </c>
    </row>
    <row r="42">
      <c r="B42" s="24" t="inlineStr">
        <is>
          <t>العلف الجاهز</t>
        </is>
      </c>
      <c r="C42" s="23">
        <f>'الإيرادات'!$C$17*12</f>
        <v/>
      </c>
    </row>
    <row r="43">
      <c r="B43" s="24" t="inlineStr">
        <is>
          <t>السرس</t>
        </is>
      </c>
      <c r="C43" s="23">
        <f>'الإيرادات'!$C$18*12</f>
        <v/>
      </c>
    </row>
  </sheetData>
  <mergeCells count="5">
    <mergeCell ref="B4:F4"/>
    <mergeCell ref="B2:F2"/>
    <mergeCell ref="B1:F1"/>
    <mergeCell ref="B5:F9"/>
    <mergeCell ref="B31:L31"/>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FFF2CC"/>
    <outlinePr summaryBelow="1" summaryRight="1"/>
    <pageSetUpPr/>
  </sheetPr>
  <dimension ref="B1:G105"/>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54" customWidth="1" min="2" max="2"/>
    <col width="15" customWidth="1" min="3" max="3"/>
    <col width="15" customWidth="1" min="4" max="4"/>
    <col width="15" customWidth="1" min="5" max="5"/>
    <col width="15" customWidth="1" min="6" max="6"/>
    <col width="15" customWidth="1" min="7" max="7"/>
  </cols>
  <sheetData>
    <row r="1" ht="30" customHeight="1">
      <c r="B1" s="25" t="inlineStr">
        <is>
          <t>مفاتيح وافتراضات النموذج المعدّل — مشروع مضرب أرز + مصنع أعلاف</t>
        </is>
      </c>
      <c r="C1" s="2" t="n"/>
      <c r="D1" s="2" t="n"/>
      <c r="E1" s="2" t="n"/>
      <c r="F1" s="2" t="n"/>
      <c r="G1" s="2" t="n"/>
    </row>
    <row r="2">
      <c r="B2" s="26" t="inlineStr">
        <is>
          <t>الخلايا الصفراء بخط أزرق = مدخلات قابلة للتعديل · رمادية = صيغ محسوبة · العملة: الجنيه المصري</t>
        </is>
      </c>
    </row>
    <row r="5" ht="21" customHeight="1">
      <c r="B5" s="27" t="inlineStr">
        <is>
          <t>أولاً: مفاتيح عامة للتشغيل والتمويل</t>
        </is>
      </c>
      <c r="C5" s="28" t="n"/>
      <c r="D5" s="28" t="n"/>
      <c r="E5" s="28" t="n"/>
      <c r="F5" s="28" t="n"/>
      <c r="G5" s="28" t="n"/>
    </row>
    <row r="6">
      <c r="B6" s="29" t="inlineStr">
        <is>
          <t>سيناريو التشغيل (1 = متحفظ | 2 = متوقع | 3 = متفائل)</t>
        </is>
      </c>
      <c r="C6" s="30" t="n">
        <v>2</v>
      </c>
      <c r="D6" s="31" t="inlineStr">
        <is>
          <t>-</t>
        </is>
      </c>
      <c r="E6" s="32" t="inlineStr">
        <is>
          <t>يتحكّم تلقائياً في كل معاملات الجدول أدناه</t>
        </is>
      </c>
    </row>
    <row r="7">
      <c r="B7" s="29" t="inlineStr">
        <is>
          <t>قدرة مضرب الأرز</t>
        </is>
      </c>
      <c r="C7" s="33" t="n">
        <v>2</v>
      </c>
      <c r="D7" s="31" t="inlineStr">
        <is>
          <t>طن/يوم</t>
        </is>
      </c>
      <c r="E7" s="32" t="inlineStr">
        <is>
          <t>كما في الدراسة الأصلية — لم تُعدّل</t>
        </is>
      </c>
    </row>
    <row r="8">
      <c r="B8" s="29" t="inlineStr">
        <is>
          <t>أيام العمل الشهرية</t>
        </is>
      </c>
      <c r="C8" s="33" t="n">
        <v>26</v>
      </c>
      <c r="D8" s="31" t="inlineStr">
        <is>
          <t>يوم</t>
        </is>
      </c>
      <c r="E8" s="32" t="inlineStr">
        <is>
          <t>كما في الدراسة — تحقق من الذروة والصيانة</t>
        </is>
      </c>
    </row>
    <row r="9">
      <c r="B9" s="34" t="inlineStr">
        <is>
          <t>معالجة الشعير الشهرية</t>
        </is>
      </c>
      <c r="C9" s="35">
        <f>'الافتراضات'!$C$7*'الافتراضات'!$C$8</f>
        <v/>
      </c>
      <c r="D9" s="31" t="inlineStr">
        <is>
          <t>طن</t>
        </is>
      </c>
      <c r="E9" s="32" t="inlineStr">
        <is>
          <t>القدرة × أيام العمل</t>
        </is>
      </c>
    </row>
    <row r="10">
      <c r="B10" s="29" t="inlineStr">
        <is>
          <t>عمر المشروع</t>
        </is>
      </c>
      <c r="C10" s="30" t="n">
        <v>10</v>
      </c>
      <c r="D10" s="31" t="inlineStr">
        <is>
          <t>سنة</t>
        </is>
      </c>
      <c r="E10" s="32" t="inlineStr">
        <is>
          <t>أفق التحليل</t>
        </is>
      </c>
    </row>
    <row r="11">
      <c r="B11" s="29" t="inlineStr">
        <is>
          <t>معدل ضريبة الدخل</t>
        </is>
      </c>
      <c r="C11" s="36" t="n">
        <v>0.225</v>
      </c>
      <c r="D11" s="31" t="inlineStr">
        <is>
          <t>%</t>
        </is>
      </c>
      <c r="E11" s="32" t="inlineStr">
        <is>
          <t>22.5% سعر شركات بمصر — يُستبدل برأي مستشار ضريبي</t>
        </is>
      </c>
    </row>
    <row r="12">
      <c r="B12" s="29" t="inlineStr">
        <is>
          <t>نسبة التمويل بحقوق الملكية</t>
        </is>
      </c>
      <c r="C12" s="36" t="n">
        <v>1</v>
      </c>
      <c r="D12" s="31" t="inlineStr">
        <is>
          <t>%</t>
        </is>
      </c>
      <c r="E12" s="32" t="inlineStr">
        <is>
          <t>الدراسة تفترض 100% ملكية — أثر الدين في «المؤشرات»</t>
        </is>
      </c>
    </row>
    <row r="13">
      <c r="B13" s="22" t="inlineStr">
        <is>
          <t>نسبة التمويل بالدين</t>
        </is>
      </c>
      <c r="C13" s="37">
        <f>1-'الافتراضات'!$C$12</f>
        <v/>
      </c>
      <c r="D13" s="31" t="inlineStr">
        <is>
          <t>%</t>
        </is>
      </c>
      <c r="E13" s="32" t="inlineStr">
        <is>
          <t>مشتق</t>
        </is>
      </c>
    </row>
    <row r="14">
      <c r="B14" s="29" t="inlineStr">
        <is>
          <t>سعر فائدة الدين</t>
        </is>
      </c>
      <c r="C14" s="36" t="n">
        <v>0.15</v>
      </c>
      <c r="D14" s="31" t="inlineStr">
        <is>
          <t>%</t>
        </is>
      </c>
      <c r="E14" s="32" t="inlineStr">
        <is>
          <t>مبادرة الصناعة 15% متناقص — تأكيد مع البنك</t>
        </is>
      </c>
    </row>
    <row r="15">
      <c r="B15" s="29" t="inlineStr">
        <is>
          <t>مدة سداد الدين</t>
        </is>
      </c>
      <c r="C15" s="30" t="n">
        <v>5</v>
      </c>
      <c r="D15" s="31" t="inlineStr">
        <is>
          <t>سنة</t>
        </is>
      </c>
      <c r="E15" s="32" t="inlineStr">
        <is>
          <t>افتراض</t>
        </is>
      </c>
    </row>
    <row r="16">
      <c r="B16" s="29" t="inlineStr">
        <is>
          <t>نسبة القيمة التخريبية للمعدات</t>
        </is>
      </c>
      <c r="C16" s="36" t="n">
        <v>0.15</v>
      </c>
      <c r="D16" s="31" t="inlineStr">
        <is>
          <t>%</t>
        </is>
      </c>
      <c r="E16" s="32" t="inlineStr">
        <is>
          <t>في نهاية العمر — الدراسة افترضت صفراً</t>
        </is>
      </c>
    </row>
    <row r="17">
      <c r="B17" s="29" t="inlineStr">
        <is>
          <t>احتياطي الإحلال السنوي (من قيمة المعدات)</t>
        </is>
      </c>
      <c r="C17" s="36" t="n">
        <v>0.03</v>
      </c>
      <c r="D17" s="31" t="inlineStr">
        <is>
          <t>%</t>
        </is>
      </c>
      <c r="E17" s="32" t="inlineStr">
        <is>
          <t>⚠ الدراسة لم تُدرج أي احتياطي إحلال خلال 10 سنوات</t>
        </is>
      </c>
    </row>
    <row r="19" ht="21" customHeight="1">
      <c r="B19" s="27" t="inlineStr">
        <is>
          <t>ثانياً: معاملات الأسعار والتضخم والحجم حسب السيناريو</t>
        </is>
      </c>
      <c r="C19" s="28" t="n"/>
      <c r="D19" s="28" t="n"/>
      <c r="E19" s="28" t="n"/>
      <c r="F19" s="28" t="n"/>
      <c r="G19" s="28" t="n"/>
    </row>
    <row r="20" ht="18" customHeight="1">
      <c r="B20" s="38" t="inlineStr">
        <is>
          <t>المعامل</t>
        </is>
      </c>
      <c r="C20" s="38" t="inlineStr">
        <is>
          <t>متحفظ</t>
        </is>
      </c>
      <c r="D20" s="38" t="inlineStr">
        <is>
          <t>متوقع</t>
        </is>
      </c>
      <c r="E20" s="38" t="inlineStr">
        <is>
          <t>متفائل</t>
        </is>
      </c>
      <c r="F20" s="38" t="inlineStr">
        <is>
          <t>القيمة النشطة</t>
        </is>
      </c>
      <c r="G20" s="38" t="inlineStr">
        <is>
          <t>المصدر / الملاحظة</t>
        </is>
      </c>
    </row>
    <row r="21">
      <c r="B21" s="29" t="inlineStr">
        <is>
          <t>تضخم أسعار البيع السنوي</t>
        </is>
      </c>
      <c r="C21" s="36" t="n">
        <v>0.07000000000000001</v>
      </c>
      <c r="D21" s="36" t="n">
        <v>0.08</v>
      </c>
      <c r="E21" s="36" t="n">
        <v>0.1</v>
      </c>
      <c r="F21" s="39">
        <f>INDEX($C21:$E21,1,$C$6)</f>
        <v/>
      </c>
      <c r="G21" s="12" t="inlineStr">
        <is>
          <t>الدراسة: 5% ثابت بلا مصدر — مقترح 8%</t>
        </is>
      </c>
    </row>
    <row r="22">
      <c r="B22" s="29" t="inlineStr">
        <is>
          <t>تضخم تكلفة المواد الخام السنوي</t>
        </is>
      </c>
      <c r="C22" s="36" t="n">
        <v>0.11</v>
      </c>
      <c r="D22" s="36" t="n">
        <v>0.08</v>
      </c>
      <c r="E22" s="36" t="n">
        <v>0.07000000000000001</v>
      </c>
      <c r="F22" s="39">
        <f>INDEX($C22:$E22,1,$C$6)</f>
        <v/>
      </c>
      <c r="G22" s="12" t="inlineStr">
        <is>
          <t>المتحفظ: الخام أسرع من سعر البيع ⇒ ضغط الهامش</t>
        </is>
      </c>
    </row>
    <row r="23">
      <c r="B23" s="29" t="inlineStr">
        <is>
          <t>تضخم التكاليف الثابتة السنوي</t>
        </is>
      </c>
      <c r="C23" s="36" t="n">
        <v>0.11</v>
      </c>
      <c r="D23" s="36" t="n">
        <v>0.08</v>
      </c>
      <c r="E23" s="36" t="n">
        <v>0.07000000000000001</v>
      </c>
      <c r="F23" s="39">
        <f>INDEX($C23:$E23,1,$C$6)</f>
        <v/>
      </c>
      <c r="G23" s="12" t="inlineStr">
        <is>
          <t>⚠ الدراسة تُثبّت الثابت 10 سنوات بصفر تضخم</t>
        </is>
      </c>
    </row>
    <row r="24">
      <c r="B24" s="29" t="inlineStr">
        <is>
          <t>معامل سعر الشعير (× السعر الأساسي)</t>
        </is>
      </c>
      <c r="C24" s="40" t="n">
        <v>1.04</v>
      </c>
      <c r="D24" s="40" t="n">
        <v>1</v>
      </c>
      <c r="E24" s="40" t="n">
        <v>0.97</v>
      </c>
      <c r="F24" s="41">
        <f>INDEX($C24:$E24,1,$C$6)</f>
        <v/>
      </c>
      <c r="G24" s="12" t="inlineStr">
        <is>
          <t>أكبر خطر تسعيري</t>
        </is>
      </c>
    </row>
    <row r="25">
      <c r="B25" s="29" t="inlineStr">
        <is>
          <t>معامل سعر الأرز الأبيض (× الأساسي)</t>
        </is>
      </c>
      <c r="C25" s="40" t="n">
        <v>0.95</v>
      </c>
      <c r="D25" s="40" t="n">
        <v>1</v>
      </c>
      <c r="E25" s="40" t="n">
        <v>1.04</v>
      </c>
      <c r="F25" s="41">
        <f>INDEX($C25:$E25,1,$C$6)</f>
        <v/>
      </c>
      <c r="G25" s="12" t="inlineStr">
        <is>
          <t>فجوة الشعير/الأرز = محرك الربحية الأول</t>
        </is>
      </c>
    </row>
    <row r="26">
      <c r="B26" s="29" t="inlineStr">
        <is>
          <t>معامل سعر العلف (× الأساسي)</t>
        </is>
      </c>
      <c r="C26" s="40" t="n">
        <v>0.9399999999999999</v>
      </c>
      <c r="D26" s="40" t="n">
        <v>1</v>
      </c>
      <c r="E26" s="40" t="n">
        <v>1.05</v>
      </c>
      <c r="F26" s="41">
        <f>INDEX($C26:$E26,1,$C$6)</f>
        <v/>
      </c>
      <c r="G26" s="12" t="inlineStr">
        <is>
          <t>سعر العلف استرشادي غير موثّق</t>
        </is>
      </c>
    </row>
    <row r="27">
      <c r="B27" s="29" t="inlineStr">
        <is>
          <t>معامل حجم المبيعات</t>
        </is>
      </c>
      <c r="C27" s="40" t="n">
        <v>0.9</v>
      </c>
      <c r="D27" s="40" t="n">
        <v>1</v>
      </c>
      <c r="E27" s="40" t="n">
        <v>1.06</v>
      </c>
      <c r="F27" s="41">
        <f>INDEX($C27:$E27,1,$C$6)</f>
        <v/>
      </c>
      <c r="G27" s="12" t="inlineStr">
        <is>
          <t>القدرة مقيدة — لا نمو حجم بدون استثمار</t>
        </is>
      </c>
    </row>
    <row r="28">
      <c r="B28" s="29" t="inlineStr">
        <is>
          <t>معدل الخصم (تكلفة الأموال)</t>
        </is>
      </c>
      <c r="C28" s="36" t="n">
        <v>0.22</v>
      </c>
      <c r="D28" s="36" t="n">
        <v>0.2</v>
      </c>
      <c r="E28" s="36" t="n">
        <v>0.18</v>
      </c>
      <c r="F28" s="39">
        <f>INDEX($C28:$E28,1,$C$6)</f>
        <v/>
      </c>
      <c r="G28" s="12" t="inlineStr">
        <is>
          <t>الدراسة: 12% مع تضخم 8% ⇒ عائد حقيقي ~3.7%</t>
        </is>
      </c>
    </row>
    <row r="30" ht="21" customHeight="1">
      <c r="B30" s="27" t="inlineStr">
        <is>
          <t>ثالثاً: أسعار البيع والشراء (جنيه/طن) — سعر سنة الأساس</t>
        </is>
      </c>
      <c r="C30" s="28" t="n"/>
      <c r="D30" s="28" t="n"/>
      <c r="E30" s="28" t="n"/>
      <c r="F30" s="28" t="n"/>
      <c r="G30" s="28" t="n"/>
    </row>
    <row r="31" ht="18" customHeight="1">
      <c r="B31" s="38" t="inlineStr">
        <is>
          <t>البند</t>
        </is>
      </c>
      <c r="C31" s="38" t="inlineStr">
        <is>
          <t>القيمة</t>
        </is>
      </c>
      <c r="D31" s="38" t="inlineStr">
        <is>
          <t>الوحدة</t>
        </is>
      </c>
      <c r="E31" s="38" t="inlineStr">
        <is>
          <t>المصدر / الملاحظة</t>
        </is>
      </c>
      <c r="F31" s="38" t="inlineStr"/>
      <c r="G31" s="38" t="inlineStr"/>
    </row>
    <row r="32">
      <c r="B32" s="29" t="inlineStr">
        <is>
          <t>سعر شراء الشعير العريض</t>
        </is>
      </c>
      <c r="C32" s="33" t="n">
        <v>15500</v>
      </c>
      <c r="D32" s="31" t="inlineStr">
        <is>
          <t>ج.م/طن</t>
        </is>
      </c>
      <c r="E32" s="32" t="inlineStr">
        <is>
          <t>⚠ غير موثّق في الدراسة — يلزم عرض سعر مكتوب من المورّد</t>
        </is>
      </c>
    </row>
    <row r="33">
      <c r="B33" s="29" t="inlineStr">
        <is>
          <t>سعر بيع الأرز الأبيض المعبأ 25 كجم</t>
        </is>
      </c>
      <c r="C33" s="33" t="n">
        <v>25000</v>
      </c>
      <c r="D33" s="31" t="inlineStr">
        <is>
          <t>ج.م/طن</t>
        </is>
      </c>
      <c r="E33" s="32" t="inlineStr">
        <is>
          <t>⚠ غير موثّق — راجع سعر الجملة الفعلي</t>
        </is>
      </c>
    </row>
    <row r="34">
      <c r="B34" s="29" t="inlineStr">
        <is>
          <t>سعر بيع العلف الجاهز (تسمين)</t>
        </is>
      </c>
      <c r="C34" s="33" t="n">
        <v>19000</v>
      </c>
      <c r="D34" s="31" t="inlineStr">
        <is>
          <t>ج.م/طن</t>
        </is>
      </c>
      <c r="E34" s="32" t="inlineStr">
        <is>
          <t>⚠ استرشادي — يلزم تأكيد ميداني</t>
        </is>
      </c>
    </row>
    <row r="35">
      <c r="B35" s="29" t="inlineStr">
        <is>
          <t>سعر بيع السرس (القشور)</t>
        </is>
      </c>
      <c r="C35" s="33" t="n">
        <v>1000</v>
      </c>
      <c r="D35" s="31" t="inlineStr">
        <is>
          <t>ج.م/طن</t>
        </is>
      </c>
      <c r="E35" s="32" t="inlineStr">
        <is>
          <t>قيمة منخفضة ومتحفظة</t>
        </is>
      </c>
    </row>
    <row r="36">
      <c r="B36" s="29" t="inlineStr">
        <is>
          <t>سعر السوق للكسر (للتقييم البديل فقط)</t>
        </is>
      </c>
      <c r="C36" s="33" t="n">
        <v>12000</v>
      </c>
      <c r="D36" s="31" t="inlineStr">
        <is>
          <t>ج.م/طن</t>
        </is>
      </c>
      <c r="E36" s="32" t="inlineStr">
        <is>
          <t>⚠ الدراسة قيّمته داخلياً بـ 9,000 ج ⇒ إهدار فرصة</t>
        </is>
      </c>
    </row>
    <row r="37">
      <c r="B37" s="29" t="inlineStr">
        <is>
          <t>سعر السوق للنخالة (للتقييم البديل فقط)</t>
        </is>
      </c>
      <c r="C37" s="33" t="n">
        <v>8000</v>
      </c>
      <c r="D37" s="31" t="inlineStr">
        <is>
          <t>ج.م/طن</t>
        </is>
      </c>
      <c r="E37" s="32" t="inlineStr">
        <is>
          <t>⚠ الدراسة قيّمتها داخلياً بـ 10,000 ج — أعلى من السوق</t>
        </is>
      </c>
    </row>
    <row r="38">
      <c r="B38" s="29" t="inlineStr">
        <is>
          <t>سعر الذرة الصفراء المجروشة</t>
        </is>
      </c>
      <c r="C38" s="33" t="n">
        <v>13500</v>
      </c>
      <c r="D38" s="31" t="inlineStr">
        <is>
          <t>ج.م/طن</t>
        </is>
      </c>
      <c r="E38" s="32" t="inlineStr">
        <is>
          <t>⚠ الدراسة: 12,500 ج — يلزم تحديث</t>
        </is>
      </c>
    </row>
    <row r="39">
      <c r="B39" s="29" t="inlineStr">
        <is>
          <t>سعر كسب فول الصويا 44%</t>
        </is>
      </c>
      <c r="C39" s="33" t="n">
        <v>24000</v>
      </c>
      <c r="D39" s="31" t="inlineStr">
        <is>
          <t>ج.م/طن</t>
        </is>
      </c>
      <c r="E39" s="32" t="inlineStr">
        <is>
          <t>⚠ الدراسة: 21,000 ج — فرق مؤثر على هوامش العلف</t>
        </is>
      </c>
    </row>
    <row r="40">
      <c r="B40" s="29" t="inlineStr">
        <is>
          <t>سعر الحجر الجيري</t>
        </is>
      </c>
      <c r="C40" s="33" t="n">
        <v>1000</v>
      </c>
      <c r="D40" s="31" t="inlineStr">
        <is>
          <t>ج.م/طن</t>
        </is>
      </c>
      <c r="E40" s="32" t="inlineStr">
        <is>
          <t>كما في الدراسة</t>
        </is>
      </c>
    </row>
    <row r="41">
      <c r="B41" s="29" t="inlineStr">
        <is>
          <t>سعر ملح الطعام</t>
        </is>
      </c>
      <c r="C41" s="33" t="n">
        <v>2500</v>
      </c>
      <c r="D41" s="31" t="inlineStr">
        <is>
          <t>ج.م/طن</t>
        </is>
      </c>
      <c r="E41" s="32" t="inlineStr">
        <is>
          <t>كما في الدراسة</t>
        </is>
      </c>
    </row>
    <row r="42">
      <c r="B42" s="29" t="inlineStr">
        <is>
          <t>سعر مخلوط الفيتامينات والأملاح</t>
        </is>
      </c>
      <c r="C42" s="33" t="n">
        <v>65000</v>
      </c>
      <c r="D42" s="31" t="inlineStr">
        <is>
          <t>ج.م/طن</t>
        </is>
      </c>
      <c r="E42" s="32" t="inlineStr">
        <is>
          <t>كما في الدراسة</t>
        </is>
      </c>
    </row>
    <row r="43">
      <c r="B43" s="29" t="inlineStr">
        <is>
          <t>سعر مضاد السموم والأكسدة</t>
        </is>
      </c>
      <c r="C43" s="33" t="n">
        <v>80000</v>
      </c>
      <c r="D43" s="31" t="inlineStr">
        <is>
          <t>ج.م/طن</t>
        </is>
      </c>
      <c r="E43" s="32" t="inlineStr">
        <is>
          <t>كما في الدراسة</t>
        </is>
      </c>
    </row>
    <row r="44">
      <c r="B44" s="29" t="inlineStr">
        <is>
          <t>تكلفة تغليف الأرز</t>
        </is>
      </c>
      <c r="C44" s="42" t="n">
        <v>380</v>
      </c>
      <c r="D44" s="31" t="inlineStr">
        <is>
          <t>ج.م/طن أرز</t>
        </is>
      </c>
      <c r="E44" s="32" t="inlineStr">
        <is>
          <t>الدراسة: 20,000 ج/شهر = 571 ج/طن (مبالغ فيه) — عُدّلت</t>
        </is>
      </c>
    </row>
    <row r="45">
      <c r="B45" s="29" t="inlineStr">
        <is>
          <t>تكلفة تعبئة العلف</t>
        </is>
      </c>
      <c r="C45" s="33" t="n">
        <v>500</v>
      </c>
      <c r="D45" s="31" t="inlineStr">
        <is>
          <t>ج.م/طن</t>
        </is>
      </c>
      <c r="E45" s="32" t="inlineStr">
        <is>
          <t>كما في الدراسة</t>
        </is>
      </c>
    </row>
    <row r="46">
      <c r="B46" s="29" t="inlineStr">
        <is>
          <t>تكلفة نقل العلف</t>
        </is>
      </c>
      <c r="C46" s="33" t="n">
        <v>500</v>
      </c>
      <c r="D46" s="31" t="inlineStr">
        <is>
          <t>ج.م/طن</t>
        </is>
      </c>
      <c r="E46" s="32" t="inlineStr">
        <is>
          <t>كما في الدراسة</t>
        </is>
      </c>
    </row>
    <row r="47">
      <c r="B47" s="29" t="inlineStr">
        <is>
          <t>عمولة تسويق وتوزيع الأرز (% من الإيراد)</t>
        </is>
      </c>
      <c r="C47" s="36" t="n">
        <v>0.01</v>
      </c>
      <c r="D47" s="31" t="inlineStr">
        <is>
          <t>%</t>
        </is>
      </c>
      <c r="E47" s="32" t="inlineStr">
        <is>
          <t>بند مُغفَل تماماً في الدراسة</t>
        </is>
      </c>
    </row>
    <row r="49" ht="21" customHeight="1">
      <c r="B49" s="27" t="inlineStr">
        <is>
          <t>رابعاً: معاملات التصنيع (الاسترداد من الشعير)</t>
        </is>
      </c>
      <c r="C49" s="28" t="n"/>
      <c r="D49" s="28" t="n"/>
      <c r="E49" s="28" t="n"/>
      <c r="F49" s="28" t="n"/>
      <c r="G49" s="28" t="n"/>
    </row>
    <row r="50" ht="18" customHeight="1">
      <c r="B50" s="38" t="inlineStr">
        <is>
          <t>المعامل</t>
        </is>
      </c>
      <c r="C50" s="38" t="inlineStr">
        <is>
          <t>القيمة</t>
        </is>
      </c>
      <c r="D50" s="38" t="inlineStr">
        <is>
          <t>الوحدة</t>
        </is>
      </c>
      <c r="E50" s="38" t="inlineStr">
        <is>
          <t>المصدر / الملاحظة</t>
        </is>
      </c>
      <c r="F50" s="38" t="inlineStr"/>
      <c r="G50" s="38" t="inlineStr"/>
    </row>
    <row r="51">
      <c r="B51" s="29" t="inlineStr">
        <is>
          <t>نسبة الأرز الأبيض (حبة كاملة)</t>
        </is>
      </c>
      <c r="C51" s="36" t="n">
        <v>0.65</v>
      </c>
      <c r="D51" s="31" t="inlineStr">
        <is>
          <t>%</t>
        </is>
      </c>
      <c r="E51" s="32" t="inlineStr">
        <is>
          <t>⚠ الدراسة: 67.3% — أعلى من المدى العملي (60–68%). محرك الربحية الأول</t>
        </is>
      </c>
    </row>
    <row r="52">
      <c r="B52" s="29" t="inlineStr">
        <is>
          <t>نسبة الكسر</t>
        </is>
      </c>
      <c r="C52" s="36" t="n">
        <v>0.04</v>
      </c>
      <c r="D52" s="31" t="inlineStr">
        <is>
          <t>%</t>
        </is>
      </c>
      <c r="E52" s="32" t="inlineStr">
        <is>
          <t>كما في الدراسة</t>
        </is>
      </c>
    </row>
    <row r="53">
      <c r="B53" s="29" t="inlineStr">
        <is>
          <t>نسبة النخالة</t>
        </is>
      </c>
      <c r="C53" s="36" t="n">
        <v>0.09</v>
      </c>
      <c r="D53" s="31" t="inlineStr">
        <is>
          <t>%</t>
        </is>
      </c>
      <c r="E53" s="32" t="inlineStr">
        <is>
          <t>الدراسة: 9.6%</t>
        </is>
      </c>
    </row>
    <row r="54">
      <c r="B54" s="29" t="inlineStr">
        <is>
          <t>نسبة السرس (القشور)</t>
        </is>
      </c>
      <c r="C54" s="36" t="n">
        <v>0.2</v>
      </c>
      <c r="D54" s="31" t="inlineStr">
        <is>
          <t>%</t>
        </is>
      </c>
      <c r="E54" s="32" t="inlineStr">
        <is>
          <t>مطابق للدراسة</t>
        </is>
      </c>
    </row>
    <row r="55">
      <c r="B55" s="29" t="inlineStr">
        <is>
          <t>الفاقد والشوائب والتسويق</t>
        </is>
      </c>
      <c r="C55" s="36" t="n">
        <v>0.02</v>
      </c>
      <c r="D55" s="31" t="inlineStr">
        <is>
          <t>%</t>
        </is>
      </c>
      <c r="E55" s="32" t="inlineStr">
        <is>
          <t>⚠ الدراسة افترضت فاقداً صفرياً — غير واقعي</t>
        </is>
      </c>
    </row>
    <row r="56">
      <c r="B56" s="34" t="inlineStr">
        <is>
          <t>فحص: مجموع معاملات الاسترداد</t>
        </is>
      </c>
      <c r="C56" s="39">
        <f>SUM('الافتراضات'!$C$51:'الافتراضات'!$C$55)</f>
        <v/>
      </c>
      <c r="D56" s="31" t="inlineStr">
        <is>
          <t>%</t>
        </is>
      </c>
      <c r="E56" s="32" t="inlineStr">
        <is>
          <t>يجب أن يساوي 100%</t>
        </is>
      </c>
    </row>
    <row r="58" ht="21" customHeight="1">
      <c r="B58" s="27" t="inlineStr">
        <is>
          <t>خامساً: تركيبة علف التسمين (النسب من وزن الدفعة)</t>
        </is>
      </c>
      <c r="C58" s="28" t="n"/>
      <c r="D58" s="28" t="n"/>
      <c r="E58" s="28" t="n"/>
      <c r="F58" s="28" t="n"/>
      <c r="G58" s="28" t="n"/>
    </row>
    <row r="59" ht="18" customHeight="1">
      <c r="B59" s="38" t="inlineStr">
        <is>
          <t>المكوّن</t>
        </is>
      </c>
      <c r="C59" s="38" t="inlineStr">
        <is>
          <t>النسبة</t>
        </is>
      </c>
      <c r="D59" s="38" t="inlineStr">
        <is>
          <t>الوحدة</t>
        </is>
      </c>
      <c r="E59" s="38" t="inlineStr">
        <is>
          <t>المصدر / الملاحظة</t>
        </is>
      </c>
      <c r="F59" s="38" t="inlineStr"/>
      <c r="G59" s="38" t="inlineStr"/>
    </row>
    <row r="60">
      <c r="B60" s="29" t="inlineStr">
        <is>
          <t>نخالة الأرز (داخلي)</t>
        </is>
      </c>
      <c r="C60" s="43" t="n">
        <v>0.28</v>
      </c>
      <c r="D60" s="31" t="inlineStr">
        <is>
          <t>%</t>
        </is>
      </c>
      <c r="E60" s="32" t="inlineStr">
        <is>
          <t>القيّد الحاكم لحجم دفعة العلف</t>
        </is>
      </c>
    </row>
    <row r="61">
      <c r="B61" s="29" t="inlineStr">
        <is>
          <t>الكسر والشوائب (داخلي)</t>
        </is>
      </c>
      <c r="C61" s="43" t="n">
        <v>0.12</v>
      </c>
      <c r="D61" s="31" t="inlineStr">
        <is>
          <t>%</t>
        </is>
      </c>
      <c r="E61" s="32" t="inlineStr">
        <is>
          <t>القيّد الثاني لحجم الدفعة</t>
        </is>
      </c>
    </row>
    <row r="62">
      <c r="B62" s="29" t="inlineStr">
        <is>
          <t>ذرة صفراء مجروشة</t>
        </is>
      </c>
      <c r="C62" s="43" t="n">
        <v>0.45</v>
      </c>
      <c r="D62" s="31" t="inlineStr">
        <is>
          <t>%</t>
        </is>
      </c>
      <c r="E62" s="32" t="inlineStr">
        <is>
          <t>مصدر الطاقة (النشا)</t>
        </is>
      </c>
    </row>
    <row r="63">
      <c r="B63" s="29" t="inlineStr">
        <is>
          <t>كسب فول الصويا 44%</t>
        </is>
      </c>
      <c r="C63" s="43" t="n">
        <v>0.12</v>
      </c>
      <c r="D63" s="31" t="inlineStr">
        <is>
          <t>%</t>
        </is>
      </c>
      <c r="E63" s="32" t="inlineStr">
        <is>
          <t>رفع البروتين إلى 13%</t>
        </is>
      </c>
    </row>
    <row r="64">
      <c r="B64" s="29" t="inlineStr">
        <is>
          <t>حجر جيري</t>
        </is>
      </c>
      <c r="C64" s="43" t="n">
        <v>0.015</v>
      </c>
      <c r="D64" s="31" t="inlineStr">
        <is>
          <t>%</t>
        </is>
      </c>
      <c r="E64" s="32" t="inlineStr">
        <is>
          <t>ضبط الكالسيوم</t>
        </is>
      </c>
    </row>
    <row r="65">
      <c r="B65" s="29" t="inlineStr">
        <is>
          <t>ملح طعام</t>
        </is>
      </c>
      <c r="C65" s="43" t="n">
        <v>0.01</v>
      </c>
      <c r="D65" s="31" t="inlineStr">
        <is>
          <t>%</t>
        </is>
      </c>
      <c r="E65" s="32" t="inlineStr">
        <is>
          <t>توازن الأملاح</t>
        </is>
      </c>
    </row>
    <row r="66">
      <c r="B66" s="29" t="inlineStr">
        <is>
          <t>مخلوط فيتامينات وأملاح</t>
        </is>
      </c>
      <c r="C66" s="43" t="n">
        <v>0.003</v>
      </c>
      <c r="D66" s="31" t="inlineStr">
        <is>
          <t>%</t>
        </is>
      </c>
      <c r="E66" s="32" t="inlineStr">
        <is>
          <t>تحسين المناعة</t>
        </is>
      </c>
    </row>
    <row r="67">
      <c r="B67" s="29" t="inlineStr">
        <is>
          <t>مضاد سموم + مضاد أكسدة</t>
        </is>
      </c>
      <c r="C67" s="43" t="n">
        <v>0.002</v>
      </c>
      <c r="D67" s="31" t="inlineStr">
        <is>
          <t>%</t>
        </is>
      </c>
      <c r="E67" s="32" t="inlineStr">
        <is>
          <t>حماية من سموم الرجيع</t>
        </is>
      </c>
    </row>
    <row r="68">
      <c r="B68" s="34" t="inlineStr">
        <is>
          <t>فحص: مجموع نسب الخلطة</t>
        </is>
      </c>
      <c r="C68" s="39">
        <f>SUM('الافتراضات'!$C$60:'الافتراضات'!$C$67)</f>
        <v/>
      </c>
      <c r="D68" s="31" t="inlineStr">
        <is>
          <t>%</t>
        </is>
      </c>
      <c r="E68" s="32" t="inlineStr">
        <is>
          <t>يجب أن يساوي 100%</t>
        </is>
      </c>
    </row>
    <row r="70" ht="21" customHeight="1">
      <c r="B70" s="27" t="inlineStr">
        <is>
          <t>سادساً: فرضيات رأس المال العامل والتحصيل</t>
        </is>
      </c>
      <c r="C70" s="28" t="n"/>
      <c r="D70" s="28" t="n"/>
      <c r="E70" s="28" t="n"/>
      <c r="F70" s="28" t="n"/>
      <c r="G70" s="28" t="n"/>
    </row>
    <row r="71" ht="18" customHeight="1">
      <c r="B71" s="38" t="inlineStr">
        <is>
          <t>الفرضية</t>
        </is>
      </c>
      <c r="C71" s="38" t="inlineStr">
        <is>
          <t>القيمة</t>
        </is>
      </c>
      <c r="D71" s="38" t="inlineStr">
        <is>
          <t>الوحدة</t>
        </is>
      </c>
      <c r="E71" s="38" t="inlineStr">
        <is>
          <t>المصدر / الملاحظة</t>
        </is>
      </c>
      <c r="F71" s="38" t="inlineStr"/>
      <c r="G71" s="38" t="inlineStr"/>
    </row>
    <row r="72">
      <c r="B72" s="29" t="inlineStr">
        <is>
          <t>نسبة المبيعات النقدية</t>
        </is>
      </c>
      <c r="C72" s="36" t="n">
        <v>0.4</v>
      </c>
      <c r="D72" s="31" t="inlineStr">
        <is>
          <t>%</t>
        </is>
      </c>
      <c r="E72" s="32" t="inlineStr">
        <is>
          <t>الباقي على الحساب</t>
        </is>
      </c>
    </row>
    <row r="73">
      <c r="B73" s="29" t="inlineStr">
        <is>
          <t>متوسط فترة التحصيل</t>
        </is>
      </c>
      <c r="C73" s="33" t="n">
        <v>30</v>
      </c>
      <c r="D73" s="31" t="inlineStr">
        <is>
          <t>يوم</t>
        </is>
      </c>
      <c r="E73" s="32" t="inlineStr">
        <is>
          <t>⚠ الدراسة لم تُدرج أي مدينين — إغفال جوهري</t>
        </is>
      </c>
    </row>
    <row r="74">
      <c r="B74" s="29" t="inlineStr">
        <is>
          <t>فترة تخزين الشعير</t>
        </is>
      </c>
      <c r="C74" s="33" t="n">
        <v>45</v>
      </c>
      <c r="D74" s="31" t="inlineStr">
        <is>
          <t>يوم</t>
        </is>
      </c>
      <c r="E74" s="32" t="inlineStr">
        <is>
          <t>⚠ الشراء موسمي — الدراسة أفترضت شهراً واحداً فقط من OPEX</t>
        </is>
      </c>
    </row>
    <row r="75">
      <c r="B75" s="29" t="inlineStr">
        <is>
          <t>فترة تخزين الأرز الجاهز</t>
        </is>
      </c>
      <c r="C75" s="33" t="n">
        <v>15</v>
      </c>
      <c r="D75" s="31" t="inlineStr">
        <is>
          <t>يوم</t>
        </is>
      </c>
      <c r="E75" s="32" t="inlineStr">
        <is>
          <t>افتراض</t>
        </is>
      </c>
    </row>
    <row r="76">
      <c r="B76" s="29" t="inlineStr">
        <is>
          <t>فترة تخزين العلف الجاهز</t>
        </is>
      </c>
      <c r="C76" s="33" t="n">
        <v>15</v>
      </c>
      <c r="D76" s="31" t="inlineStr">
        <is>
          <t>يوم</t>
        </is>
      </c>
      <c r="E76" s="32" t="inlineStr">
        <is>
          <t>افتراض</t>
        </is>
      </c>
    </row>
    <row r="77">
      <c r="B77" s="29" t="inlineStr">
        <is>
          <t>فترة سداد الموردين</t>
        </is>
      </c>
      <c r="C77" s="33" t="n">
        <v>15</v>
      </c>
      <c r="D77" s="31" t="inlineStr">
        <is>
          <t>يوم</t>
        </is>
      </c>
      <c r="E77" s="32" t="inlineStr">
        <is>
          <t>افتراض — يقلل الحاجة لرأس المال العامل</t>
        </is>
      </c>
    </row>
    <row r="78">
      <c r="B78" s="29" t="inlineStr">
        <is>
          <t>الحد الأدنى للنقدية التشغيلية</t>
        </is>
      </c>
      <c r="C78" s="33" t="n">
        <v>200000</v>
      </c>
      <c r="D78" s="31" t="inlineStr">
        <is>
          <t>ج.م</t>
        </is>
      </c>
      <c r="E78" s="32" t="inlineStr">
        <is>
          <t>احتياطي سيولة</t>
        </is>
      </c>
    </row>
    <row r="80" ht="21" customHeight="1">
      <c r="B80" s="27" t="inlineStr">
        <is>
          <t>سابعاً: التكاليف الثابتة الشهرية (سنة الأساس) — بنود مُفصّلة</t>
        </is>
      </c>
      <c r="C80" s="28" t="n"/>
      <c r="D80" s="28" t="n"/>
      <c r="E80" s="28" t="n"/>
      <c r="F80" s="28" t="n"/>
      <c r="G80" s="28" t="n"/>
    </row>
    <row r="81" ht="18" customHeight="1">
      <c r="B81" s="38" t="inlineStr">
        <is>
          <t>البند</t>
        </is>
      </c>
      <c r="C81" s="38" t="inlineStr">
        <is>
          <t>قيمة شهرية</t>
        </is>
      </c>
      <c r="D81" s="38" t="inlineStr">
        <is>
          <t>الوحدة</t>
        </is>
      </c>
      <c r="E81" s="38" t="inlineStr">
        <is>
          <t>المصدر / الملاحظة</t>
        </is>
      </c>
      <c r="F81" s="38" t="inlineStr"/>
      <c r="G81" s="38" t="inlineStr"/>
    </row>
    <row r="82">
      <c r="B82" s="29" t="inlineStr">
        <is>
          <t>أجور عمالة المضرب (5 أفراد × 7,000)</t>
        </is>
      </c>
      <c r="C82" s="33" t="n">
        <v>35000</v>
      </c>
      <c r="D82" s="31" t="inlineStr">
        <is>
          <t>ج.م/شهر</t>
        </is>
      </c>
      <c r="E82" s="32" t="inlineStr">
        <is>
          <t>⚠ الدراسة: 4 أفراد بـ 28,000 + سائق منفصل بـ 4,000 ⇒ ازدواج محتمل</t>
        </is>
      </c>
    </row>
    <row r="83">
      <c r="B83" s="22" t="inlineStr">
        <is>
          <t>تأمينات اجتماعية وصحية (15% من الأجور)</t>
        </is>
      </c>
      <c r="C83" s="44">
        <f>0.15*'الافتراضات'!$C$82</f>
        <v/>
      </c>
      <c r="D83" s="31" t="inlineStr">
        <is>
          <t>ج.م/شهر</t>
        </is>
      </c>
      <c r="E83" s="32" t="inlineStr">
        <is>
          <t>بند مُغفَل في الدراسة — إلزامي عند التسجيل الرسمي</t>
        </is>
      </c>
    </row>
    <row r="84">
      <c r="B84" s="29" t="inlineStr">
        <is>
          <t>كهرباء وطاقة المضرب</t>
        </is>
      </c>
      <c r="C84" s="33" t="n">
        <v>10000</v>
      </c>
      <c r="D84" s="31" t="inlineStr">
        <is>
          <t>ج.م/شهر</t>
        </is>
      </c>
      <c r="E84" s="32" t="inlineStr">
        <is>
          <t>الدراسة: 8,000 ج — رُوجع لاستهلاك 45–55 ك.و.س/طن شعير</t>
        </is>
      </c>
    </row>
    <row r="85">
      <c r="B85" s="29" t="inlineStr">
        <is>
          <t>نقل وتوزيع (إيجار سيارة + وقود التروسيكل)</t>
        </is>
      </c>
      <c r="C85" s="33" t="n">
        <v>20000</v>
      </c>
      <c r="D85" s="31" t="inlineStr">
        <is>
          <t>ج.م/شهر</t>
        </is>
      </c>
      <c r="E85" s="32" t="inlineStr">
        <is>
          <t>الدراسة: إيجار سيارة 15,000 + بنزين 5,000</t>
        </is>
      </c>
    </row>
    <row r="86">
      <c r="B86" s="29" t="inlineStr">
        <is>
          <t>إيجار المصنع والمخزن</t>
        </is>
      </c>
      <c r="C86" s="33" t="n">
        <v>20000</v>
      </c>
      <c r="D86" s="31" t="inlineStr">
        <is>
          <t>ج.م/شهر</t>
        </is>
      </c>
      <c r="E86" s="32" t="inlineStr">
        <is>
          <t>كما في الدراسة</t>
        </is>
      </c>
    </row>
    <row r="87">
      <c r="B87" s="29" t="inlineStr">
        <is>
          <t>إيجار سكن الحراسة</t>
        </is>
      </c>
      <c r="C87" s="33" t="n">
        <v>1500</v>
      </c>
      <c r="D87" s="31" t="inlineStr">
        <is>
          <t>ج.م/شهر</t>
        </is>
      </c>
      <c r="E87" s="32" t="inlineStr">
        <is>
          <t>كما في الدراسة</t>
        </is>
      </c>
    </row>
    <row r="88">
      <c r="B88" s="29" t="inlineStr">
        <is>
          <t>صيانة دورية وقطع غيار</t>
        </is>
      </c>
      <c r="C88" s="33" t="n">
        <v>3000</v>
      </c>
      <c r="D88" s="31" t="inlineStr">
        <is>
          <t>ج.م/شهر</t>
        </is>
      </c>
      <c r="E88" s="32" t="inlineStr">
        <is>
          <t>كما في الدراسة</t>
        </is>
      </c>
    </row>
    <row r="89">
      <c r="B89" s="29" t="inlineStr">
        <is>
          <t>مصاريف إدارية ومحاسبية وقانونية</t>
        </is>
      </c>
      <c r="C89" s="33" t="n">
        <v>8000</v>
      </c>
      <c r="D89" s="31" t="inlineStr">
        <is>
          <t>ج.م/شهر</t>
        </is>
      </c>
      <c r="E89" s="32" t="inlineStr">
        <is>
          <t>⚠ بند مُغفَل بالكامل في الدراسة</t>
        </is>
      </c>
    </row>
    <row r="90">
      <c r="B90" s="29" t="inlineStr">
        <is>
          <t>تأمين على الأصول والمخزون</t>
        </is>
      </c>
      <c r="C90" s="33" t="n">
        <v>2000</v>
      </c>
      <c r="D90" s="31" t="inlineStr">
        <is>
          <t>ج.م/شهر</t>
        </is>
      </c>
      <c r="E90" s="32" t="inlineStr">
        <is>
          <t>⚠ بند مُغفَل بالكامل</t>
        </is>
      </c>
    </row>
    <row r="91">
      <c r="B91" s="29" t="inlineStr">
        <is>
          <t>مختبر جودة وتحاليل</t>
        </is>
      </c>
      <c r="C91" s="33" t="n">
        <v>1500</v>
      </c>
      <c r="D91" s="31" t="inlineStr">
        <is>
          <t>ج.م/شهر</t>
        </is>
      </c>
      <c r="E91" s="32" t="inlineStr">
        <is>
          <t>⚠ بند مُغفَل — جودة الأرز والعلف متطلب ترخيص</t>
        </is>
      </c>
    </row>
    <row r="92">
      <c r="B92" s="29" t="inlineStr">
        <is>
          <t>اتصالات ومصاريف متنوعة</t>
        </is>
      </c>
      <c r="C92" s="33" t="n">
        <v>2000</v>
      </c>
      <c r="D92" s="31" t="inlineStr">
        <is>
          <t>ج.م/شهر</t>
        </is>
      </c>
      <c r="E92" s="32" t="inlineStr">
        <is>
          <t>⚠ بند مُغفَل</t>
        </is>
      </c>
    </row>
    <row r="93">
      <c r="B93" s="34" t="inlineStr">
        <is>
          <t>إجمالي ثابت مضرب الأرز</t>
        </is>
      </c>
      <c r="C93" s="35">
        <f>SUM('الافتراضات'!$C$82:'الافتراضات'!$C$92)</f>
        <v/>
      </c>
      <c r="D93" s="31" t="inlineStr">
        <is>
          <t>ج.م/شهر</t>
        </is>
      </c>
      <c r="E93" s="32" t="inlineStr">
        <is>
          <t>الدراسة: 84,500 ج/شهر</t>
        </is>
      </c>
    </row>
    <row r="94">
      <c r="B94" s="29" t="inlineStr">
        <is>
          <t>أجور عمالة مصنع العلف (2 عمال × 7,000)</t>
        </is>
      </c>
      <c r="C94" s="33" t="n">
        <v>14000</v>
      </c>
      <c r="D94" s="31" t="inlineStr">
        <is>
          <t>ج.م/شهر</t>
        </is>
      </c>
      <c r="E94" s="32" t="inlineStr">
        <is>
          <t>⚠ الدراسة: عامل واحد فقط بـ 7,000 — غير كافٍ لخط طحن وخلط وتعبئة</t>
        </is>
      </c>
    </row>
    <row r="95">
      <c r="B95" s="22" t="inlineStr">
        <is>
          <t>تأمينات اجتماعية وصحية (15% من الأجور)</t>
        </is>
      </c>
      <c r="C95" s="44">
        <f>0.15*'الافتراضات'!$C$94</f>
        <v/>
      </c>
      <c r="D95" s="31" t="inlineStr">
        <is>
          <t>ج.م/شهر</t>
        </is>
      </c>
      <c r="E95" s="32" t="inlineStr">
        <is>
          <t>بند مُغفَل في الدراسة</t>
        </is>
      </c>
    </row>
    <row r="96">
      <c r="B96" s="29" t="inlineStr">
        <is>
          <t>كهرباء ومياه ووقود مصنع العلف</t>
        </is>
      </c>
      <c r="C96" s="33" t="n">
        <v>2500</v>
      </c>
      <c r="D96" s="31" t="inlineStr">
        <is>
          <t>ج.م/شهر</t>
        </is>
      </c>
      <c r="E96" s="32" t="inlineStr">
        <is>
          <t>الدراسة: 4,000 ج</t>
        </is>
      </c>
    </row>
    <row r="97">
      <c r="B97" s="29" t="inlineStr">
        <is>
          <t>صيانة دورية معدات العلف</t>
        </is>
      </c>
      <c r="C97" s="33" t="n">
        <v>1000</v>
      </c>
      <c r="D97" s="31" t="inlineStr">
        <is>
          <t>ج.م/شهر</t>
        </is>
      </c>
      <c r="E97" s="32" t="inlineStr">
        <is>
          <t>كما في الدراسة</t>
        </is>
      </c>
    </row>
    <row r="98">
      <c r="B98" s="29" t="inlineStr">
        <is>
          <t>تسويق وبيع</t>
        </is>
      </c>
      <c r="C98" s="33" t="n">
        <v>2000</v>
      </c>
      <c r="D98" s="31" t="inlineStr">
        <is>
          <t>ج.م/شهر</t>
        </is>
      </c>
      <c r="E98" s="32" t="inlineStr">
        <is>
          <t>كما في الدراسة</t>
        </is>
      </c>
    </row>
    <row r="99">
      <c r="B99" s="34" t="inlineStr">
        <is>
          <t>إجمالي ثابت مصنع العلف</t>
        </is>
      </c>
      <c r="C99" s="35">
        <f>SUM('الافتراضات'!$C$94:'الافتراضات'!$C$98)</f>
        <v/>
      </c>
      <c r="D99" s="31" t="inlineStr">
        <is>
          <t>ج.م/شهر</t>
        </is>
      </c>
      <c r="E99" s="32" t="inlineStr">
        <is>
          <t>الدراسة: 14,000 ج/شهر</t>
        </is>
      </c>
    </row>
    <row r="100">
      <c r="B100" s="29" t="inlineStr">
        <is>
          <t>رسوم وتراخيص وتأمينات حكومية سنوية</t>
        </is>
      </c>
      <c r="C100" s="33" t="n">
        <v>5000</v>
      </c>
      <c r="D100" s="31" t="inlineStr">
        <is>
          <t>ج.م/شهر</t>
        </is>
      </c>
      <c r="E100" s="32" t="inlineStr">
        <is>
          <t>⚠ الدراسة أدرجت 100,000 ج ضمن CAPEX كـ«ضرائب سنوية» — تصنيف خاطئ</t>
        </is>
      </c>
    </row>
    <row r="101">
      <c r="B101" s="22" t="inlineStr">
        <is>
          <t>إطفاء مصروفات ما قبل التشغيل والتراخيص (5 سنوات)</t>
        </is>
      </c>
      <c r="C101" s="44">
        <f>'CAPEX'!$C$43/5/12</f>
        <v/>
      </c>
      <c r="D101" s="31" t="inlineStr">
        <is>
          <t>ج.م/شهر</t>
        </is>
      </c>
      <c r="E101" s="32" t="inlineStr">
        <is>
          <t>إطفاء 5 سنوات لمصروفات ما قبل التشغيل</t>
        </is>
      </c>
    </row>
    <row r="102">
      <c r="B102" s="22" t="inlineStr">
        <is>
          <t>احتياطي الإحلال والتطوير (من قيمة المعدات سنوياً)</t>
        </is>
      </c>
      <c r="C102" s="44">
        <f>'الافتراضات'!$C$17*('CAPEX'!$C$11+'CAPEX'!$C$18)/12</f>
        <v/>
      </c>
      <c r="D102" s="31" t="inlineStr">
        <is>
          <t>ج.م/شهر</t>
        </is>
      </c>
      <c r="E102" s="32" t="inlineStr">
        <is>
          <t>⚠ الدراسة: صيانة 3,000 ج/شهر فقط ولا إحلال خلال 10 سنوات</t>
        </is>
      </c>
    </row>
    <row r="103">
      <c r="B103" s="34" t="inlineStr">
        <is>
          <t>إجمالي البنود المشتركة والمغفلة</t>
        </is>
      </c>
      <c r="C103" s="35">
        <f>SUM('الافتراضات'!$C$100:'الافتراضات'!$C$102)</f>
        <v/>
      </c>
      <c r="D103" s="31" t="inlineStr">
        <is>
          <t>ج.م/شهر</t>
        </is>
      </c>
      <c r="E103" s="32" t="inlineStr">
        <is>
          <t>بنود غير موجودة في الدراسة</t>
        </is>
      </c>
    </row>
    <row r="104">
      <c r="B104" s="45" t="inlineStr">
        <is>
          <t>إجمالي التكاليف الثابتة الشهرية (سنة 1)</t>
        </is>
      </c>
      <c r="C104" s="46">
        <f>'الافتراضات'!$C$93+'الافتراضات'!$C$99+'الافتراضات'!$C$103</f>
        <v/>
      </c>
      <c r="D104" s="31" t="inlineStr">
        <is>
          <t>ج.م/شهر</t>
        </is>
      </c>
      <c r="E104" s="32" t="inlineStr">
        <is>
          <t>الدراسة: 98,500 ج/شهر</t>
        </is>
      </c>
    </row>
    <row r="105">
      <c r="B105" s="45" t="inlineStr">
        <is>
          <t>إجمالي التكاليف الثابتة السنوية (سنة 1)</t>
        </is>
      </c>
      <c r="C105" s="46">
        <f>'الافتراضات'!$C$104*12</f>
        <v/>
      </c>
      <c r="D105" s="31" t="inlineStr">
        <is>
          <t>ج.م/سنة</t>
        </is>
      </c>
      <c r="E105" s="32" t="inlineStr">
        <is>
          <t>الدراسة: 1,182,000 ج/سنة</t>
        </is>
      </c>
    </row>
  </sheetData>
  <mergeCells count="83">
    <mergeCell ref="E13:G13"/>
    <mergeCell ref="E40:G40"/>
    <mergeCell ref="E15:G15"/>
    <mergeCell ref="E95:G95"/>
    <mergeCell ref="E89:G89"/>
    <mergeCell ref="E104:G104"/>
    <mergeCell ref="E7:G7"/>
    <mergeCell ref="E16:G16"/>
    <mergeCell ref="B5:G5"/>
    <mergeCell ref="E42:G42"/>
    <mergeCell ref="E83:G83"/>
    <mergeCell ref="E92:G92"/>
    <mergeCell ref="E35:G35"/>
    <mergeCell ref="E44:G44"/>
    <mergeCell ref="E60:G60"/>
    <mergeCell ref="B1:G1"/>
    <mergeCell ref="E84:G84"/>
    <mergeCell ref="E78:G78"/>
    <mergeCell ref="E6:G6"/>
    <mergeCell ref="E77:G77"/>
    <mergeCell ref="E46:G46"/>
    <mergeCell ref="E86:G86"/>
    <mergeCell ref="E61:G61"/>
    <mergeCell ref="B49:G49"/>
    <mergeCell ref="E54:G54"/>
    <mergeCell ref="E32:G32"/>
    <mergeCell ref="E72:G72"/>
    <mergeCell ref="E41:G41"/>
    <mergeCell ref="E97:G97"/>
    <mergeCell ref="E47:G47"/>
    <mergeCell ref="E56:G56"/>
    <mergeCell ref="E96:G96"/>
    <mergeCell ref="E43:G43"/>
    <mergeCell ref="E103:G103"/>
    <mergeCell ref="E33:G33"/>
    <mergeCell ref="E98:G98"/>
    <mergeCell ref="E8:G8"/>
    <mergeCell ref="E17:G17"/>
    <mergeCell ref="E73:G73"/>
    <mergeCell ref="E88:G88"/>
    <mergeCell ref="E82:G82"/>
    <mergeCell ref="E63:G63"/>
    <mergeCell ref="E10:G10"/>
    <mergeCell ref="E65:G65"/>
    <mergeCell ref="E34:G34"/>
    <mergeCell ref="E9:G9"/>
    <mergeCell ref="E74:G74"/>
    <mergeCell ref="E36:G36"/>
    <mergeCell ref="E11:G11"/>
    <mergeCell ref="E45:G45"/>
    <mergeCell ref="E100:G100"/>
    <mergeCell ref="B80:G80"/>
    <mergeCell ref="E37:G37"/>
    <mergeCell ref="E102:G102"/>
    <mergeCell ref="E12:G12"/>
    <mergeCell ref="E62:G62"/>
    <mergeCell ref="E14:G14"/>
    <mergeCell ref="B58:G58"/>
    <mergeCell ref="E64:G64"/>
    <mergeCell ref="E51:G51"/>
    <mergeCell ref="E87:G87"/>
    <mergeCell ref="B2:G2"/>
    <mergeCell ref="E90:G90"/>
    <mergeCell ref="E105:G105"/>
    <mergeCell ref="E99:G99"/>
    <mergeCell ref="B19:G19"/>
    <mergeCell ref="E101:G101"/>
    <mergeCell ref="B30:G30"/>
    <mergeCell ref="E76:G76"/>
    <mergeCell ref="E91:G91"/>
    <mergeCell ref="E85:G85"/>
    <mergeCell ref="E66:G66"/>
    <mergeCell ref="E75:G75"/>
    <mergeCell ref="E53:G53"/>
    <mergeCell ref="E93:G93"/>
    <mergeCell ref="E68:G68"/>
    <mergeCell ref="E55:G55"/>
    <mergeCell ref="E52:G52"/>
    <mergeCell ref="E67:G67"/>
    <mergeCell ref="E39:G39"/>
    <mergeCell ref="B70:G70"/>
    <mergeCell ref="E38:G38"/>
    <mergeCell ref="E94:G94"/>
  </mergeCells>
  <pageMargins left="0.75" right="0.75" top="1" bottom="1" header="0.5" footer="0.5"/>
</worksheet>
</file>

<file path=xl/worksheets/sheet3.xml><?xml version="1.0" encoding="utf-8"?>
<worksheet xmlns="http://schemas.openxmlformats.org/spreadsheetml/2006/main">
  <sheetPr>
    <tabColor rgb="00D9E1F2"/>
    <outlinePr summaryBelow="1" summaryRight="1"/>
    <pageSetUpPr/>
  </sheetPr>
  <dimension ref="B1:G50"/>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54" customWidth="1" min="2" max="2"/>
    <col width="16" customWidth="1" min="3" max="3"/>
    <col width="16" customWidth="1" min="4" max="4"/>
    <col width="16" customWidth="1" min="5" max="5"/>
    <col width="16" customWidth="1" min="6" max="6"/>
  </cols>
  <sheetData>
    <row r="1" ht="30" customHeight="1">
      <c r="B1" s="25" t="inlineStr">
        <is>
          <t>الاستثمارات الرأسمالية المعدّلة — معدات وأسعار مرجعية وتركيب واحتياطات</t>
        </is>
      </c>
      <c r="C1" s="2" t="n"/>
      <c r="D1" s="2" t="n"/>
      <c r="E1" s="2" t="n"/>
      <c r="F1" s="2" t="n"/>
    </row>
    <row r="2">
      <c r="B2" s="26" t="inlineStr">
        <is>
          <t>⚠ الدراسة الأصلية أغفلت: الأعمال المدنية، النقل والتركيب، احتياطي الطوارئ، قطع الغيار، السلامة، مختبر الجودة، ومصروفات ما قبل التشغيل</t>
        </is>
      </c>
    </row>
    <row r="4" ht="18" customHeight="1">
      <c r="B4" s="38" t="inlineStr">
        <is>
          <t>البند</t>
        </is>
      </c>
      <c r="C4" s="38" t="inlineStr">
        <is>
          <t>التكلفة (ج.م)</t>
        </is>
      </c>
      <c r="D4" s="38" t="inlineStr">
        <is>
          <t>الوحدة</t>
        </is>
      </c>
      <c r="E4" s="38" t="inlineStr">
        <is>
          <t>المصدر / الملاحظة</t>
        </is>
      </c>
      <c r="F4" s="38" t="inlineStr"/>
      <c r="G4" s="38" t="inlineStr"/>
    </row>
    <row r="6" ht="21" customHeight="1">
      <c r="B6" s="27" t="inlineStr">
        <is>
          <t>أولاً: معدات مضرب الأرز</t>
        </is>
      </c>
      <c r="C6" s="28" t="n"/>
      <c r="D6" s="28" t="n"/>
      <c r="E6" s="28" t="n"/>
      <c r="F6" s="28" t="n"/>
    </row>
    <row r="7">
      <c r="B7" s="29" t="inlineStr">
        <is>
          <t>مضرب أرز 2 طن/يوم</t>
        </is>
      </c>
      <c r="C7" s="33" t="n">
        <v>600000</v>
      </c>
      <c r="D7" s="31" t="inlineStr">
        <is>
          <t>ج.م</t>
        </is>
      </c>
      <c r="E7" s="32" t="inlineStr">
        <is>
          <t>كما في الدراسة</t>
        </is>
      </c>
    </row>
    <row r="8">
      <c r="B8" s="29" t="inlineStr">
        <is>
          <t>خط تنظيف وفرز وغربال وفصل حجر</t>
        </is>
      </c>
      <c r="C8" s="33" t="n">
        <v>400000</v>
      </c>
      <c r="D8" s="31" t="inlineStr">
        <is>
          <t>ج.م</t>
        </is>
      </c>
      <c r="E8" s="32" t="inlineStr">
        <is>
          <t>كما في الدراسة</t>
        </is>
      </c>
    </row>
    <row r="9">
      <c r="B9" s="29" t="inlineStr">
        <is>
          <t>تروسيكل + موازين + سيور</t>
        </is>
      </c>
      <c r="C9" s="33" t="n">
        <v>150000</v>
      </c>
      <c r="D9" s="31" t="inlineStr">
        <is>
          <t>ج.م</t>
        </is>
      </c>
      <c r="E9" s="32" t="inlineStr">
        <is>
          <t>كما في الدراسة</t>
        </is>
      </c>
    </row>
    <row r="10">
      <c r="B10" s="29" t="inlineStr">
        <is>
          <t>معدات مختبر جودة وأجهزة تعبئة وخياطة أكياس</t>
        </is>
      </c>
      <c r="C10" s="33" t="n">
        <v>60000</v>
      </c>
      <c r="D10" s="31" t="inlineStr">
        <is>
          <t>ج.م</t>
        </is>
      </c>
      <c r="E10" s="32" t="inlineStr">
        <is>
          <t>⚠ بند مُغفَل — متطلب ترخيص وجودة</t>
        </is>
      </c>
    </row>
    <row r="11">
      <c r="B11" s="34" t="inlineStr">
        <is>
          <t>إجمالي معدات مضرب الأرز</t>
        </is>
      </c>
      <c r="C11" s="35">
        <f>SUM('CAPEX'!$C$7:'CAPEX'!$C$10)</f>
        <v/>
      </c>
      <c r="D11" s="31" t="inlineStr">
        <is>
          <t>ج.م</t>
        </is>
      </c>
      <c r="E11" s="32" t="inlineStr">
        <is>
          <t>مجموع البنود أعلاه</t>
        </is>
      </c>
    </row>
    <row r="13" ht="21" customHeight="1">
      <c r="B13" s="27" t="inlineStr">
        <is>
          <t>ثانياً: معدات مصنع العلف</t>
        </is>
      </c>
      <c r="C13" s="28" t="n"/>
      <c r="D13" s="28" t="n"/>
      <c r="E13" s="28" t="n"/>
      <c r="F13" s="28" t="n"/>
    </row>
    <row r="14">
      <c r="B14" s="29" t="inlineStr">
        <is>
          <t>خلاط أعلاف (Mixer) سعة 1–2 طن</t>
        </is>
      </c>
      <c r="C14" s="33" t="n">
        <v>75000</v>
      </c>
      <c r="D14" s="31" t="inlineStr">
        <is>
          <t>ج.م</t>
        </is>
      </c>
      <c r="E14" s="32" t="inlineStr">
        <is>
          <t>كما في الدراسة</t>
        </is>
      </c>
    </row>
    <row r="15">
      <c r="B15" s="29" t="inlineStr">
        <is>
          <t>مطحنة/كسّارة أعلاف (Hammer Mill)</t>
        </is>
      </c>
      <c r="C15" s="33" t="n">
        <v>120000</v>
      </c>
      <c r="D15" s="31" t="inlineStr">
        <is>
          <t>ج.م</t>
        </is>
      </c>
      <c r="E15" s="32" t="inlineStr">
        <is>
          <t>كما في الدراسة</t>
        </is>
      </c>
    </row>
    <row r="16">
      <c r="B16" s="29" t="inlineStr">
        <is>
          <t>سيور نقل وتحميل</t>
        </is>
      </c>
      <c r="C16" s="33" t="n">
        <v>35000</v>
      </c>
      <c r="D16" s="31" t="inlineStr">
        <is>
          <t>ج.م</t>
        </is>
      </c>
      <c r="E16" s="32" t="inlineStr">
        <is>
          <t>كما في الدراسة</t>
        </is>
      </c>
    </row>
    <row r="17">
      <c r="B17" s="29" t="inlineStr">
        <is>
          <t>ميزان إلكتروني صناعي</t>
        </is>
      </c>
      <c r="C17" s="33" t="n">
        <v>10000</v>
      </c>
      <c r="D17" s="31" t="inlineStr">
        <is>
          <t>ج.م</t>
        </is>
      </c>
      <c r="E17" s="32" t="inlineStr">
        <is>
          <t>كما في الدراسة</t>
        </is>
      </c>
    </row>
    <row r="18">
      <c r="B18" s="34" t="inlineStr">
        <is>
          <t>إجمالي معدات مصنع العلف</t>
        </is>
      </c>
      <c r="C18" s="35">
        <f>SUM('CAPEX'!$C$14:'CAPEX'!$C$17)</f>
        <v/>
      </c>
      <c r="D18" s="31" t="inlineStr">
        <is>
          <t>ج.م</t>
        </is>
      </c>
      <c r="E18" s="32" t="inlineStr">
        <is>
          <t>مجموع البنود أعلاه</t>
        </is>
      </c>
    </row>
    <row r="20" ht="21" customHeight="1">
      <c r="B20" s="27" t="inlineStr">
        <is>
          <t>ثالثاً: أعمال مدنية وبنية تحتية</t>
        </is>
      </c>
      <c r="C20" s="28" t="n"/>
      <c r="D20" s="28" t="n"/>
      <c r="E20" s="28" t="n"/>
      <c r="F20" s="28" t="n"/>
    </row>
    <row r="21">
      <c r="B21" s="29" t="inlineStr">
        <is>
          <t>أعمال مدنية وترميم وتجهيز صالات الإنتاج</t>
        </is>
      </c>
      <c r="C21" s="33" t="n">
        <v>90000</v>
      </c>
      <c r="D21" s="31" t="inlineStr">
        <is>
          <t>ج.م</t>
        </is>
      </c>
      <c r="E21" s="32" t="inlineStr">
        <is>
          <t>⚠ بند مُغفَل تماماً</t>
        </is>
      </c>
    </row>
    <row r="22">
      <c r="B22" s="29" t="inlineStr">
        <is>
          <t>كهرباء وإنارة ولوحة توزيع</t>
        </is>
      </c>
      <c r="C22" s="33" t="n">
        <v>40000</v>
      </c>
      <c r="D22" s="31" t="inlineStr">
        <is>
          <t>ج.م</t>
        </is>
      </c>
      <c r="E22" s="32" t="inlineStr">
        <is>
          <t>⚠ بند مُغفَل</t>
        </is>
      </c>
    </row>
    <row r="23">
      <c r="B23" s="29" t="inlineStr">
        <is>
          <t>مخزن مبرّد/كرفانات تخزين محسّن</t>
        </is>
      </c>
      <c r="C23" s="33" t="n">
        <v>20000</v>
      </c>
      <c r="D23" s="31" t="inlineStr">
        <is>
          <t>ج.م</t>
        </is>
      </c>
      <c r="E23" s="32" t="inlineStr">
        <is>
          <t>⚠ للحفاظ على جودة الأرز</t>
        </is>
      </c>
    </row>
    <row r="24">
      <c r="B24" s="34" t="inlineStr">
        <is>
          <t>إجمالي أعمال مدنية وبنية تحتية</t>
        </is>
      </c>
      <c r="C24" s="35">
        <f>SUM('CAPEX'!$C$21:'CAPEX'!$C$23)</f>
        <v/>
      </c>
      <c r="D24" s="31" t="inlineStr">
        <is>
          <t>ج.م</t>
        </is>
      </c>
      <c r="E24" s="32" t="inlineStr">
        <is>
          <t>مجموع البنود أعلاه</t>
        </is>
      </c>
    </row>
    <row r="26" ht="21" customHeight="1">
      <c r="B26" s="27" t="inlineStr">
        <is>
          <t>رابعاً: النقل والتركيب والتشغيل التجريبي</t>
        </is>
      </c>
      <c r="C26" s="28" t="n"/>
      <c r="D26" s="28" t="n"/>
      <c r="E26" s="28" t="n"/>
      <c r="F26" s="28" t="n"/>
    </row>
    <row r="27">
      <c r="B27" s="22" t="inlineStr">
        <is>
          <t>نقل وتركيب (8% من قيمة المعدات)</t>
        </is>
      </c>
      <c r="C27" s="44">
        <f>0.08*('CAPEX'!$C$11+'CAPEX'!$C$18)</f>
        <v/>
      </c>
      <c r="D27" s="31" t="inlineStr">
        <is>
          <t>ج.م</t>
        </is>
      </c>
      <c r="E27" s="32" t="inlineStr">
        <is>
          <t>⚠ بند مُغفَل في الدراسة — معيار صناعي 8–12%</t>
        </is>
      </c>
    </row>
    <row r="28">
      <c r="B28" s="29" t="inlineStr">
        <is>
          <t>تشغيل تجريبي وتدريب العمالة</t>
        </is>
      </c>
      <c r="C28" s="33" t="n">
        <v>30000</v>
      </c>
      <c r="D28" s="31" t="inlineStr">
        <is>
          <t>ج.م</t>
        </is>
      </c>
      <c r="E28" s="32" t="inlineStr">
        <is>
          <t>⚠ بند مُغفَل</t>
        </is>
      </c>
    </row>
    <row r="30" ht="21" customHeight="1">
      <c r="B30" s="27" t="inlineStr">
        <is>
          <t>خامساً: قطع غيار وسلامة</t>
        </is>
      </c>
      <c r="C30" s="28" t="n"/>
      <c r="D30" s="28" t="n"/>
      <c r="E30" s="28" t="n"/>
      <c r="F30" s="28" t="n"/>
    </row>
    <row r="31">
      <c r="B31" s="29" t="inlineStr">
        <is>
          <t>قطع غيار حرجة لمضرب الأرز وخط العلف</t>
        </is>
      </c>
      <c r="C31" s="33" t="n">
        <v>25000</v>
      </c>
      <c r="D31" s="31" t="inlineStr">
        <is>
          <t>ج.م</t>
        </is>
      </c>
      <c r="E31" s="32" t="inlineStr">
        <is>
          <t>⚠ بند مُغفَل</t>
        </is>
      </c>
    </row>
    <row r="32">
      <c r="B32" s="29" t="inlineStr">
        <is>
          <t>أنظمة سلامة ومكافحة حريق</t>
        </is>
      </c>
      <c r="C32" s="33" t="n">
        <v>20000</v>
      </c>
      <c r="D32" s="31" t="inlineStr">
        <is>
          <t>ج.م</t>
        </is>
      </c>
      <c r="E32" s="32" t="inlineStr">
        <is>
          <t>⚠ متطلب تأميني</t>
        </is>
      </c>
    </row>
    <row r="33">
      <c r="B33" s="34" t="inlineStr">
        <is>
          <t>إجمالي قطع غيار وسلامة</t>
        </is>
      </c>
      <c r="C33" s="35">
        <f>SUM('CAPEX'!$C$31:'CAPEX'!$C$32)</f>
        <v/>
      </c>
      <c r="D33" s="31" t="inlineStr">
        <is>
          <t>ج.م</t>
        </is>
      </c>
      <c r="E33" s="32" t="inlineStr">
        <is>
          <t>مجموع البنود أعلاه</t>
        </is>
      </c>
    </row>
    <row r="35" ht="21" customHeight="1">
      <c r="B35" s="27" t="inlineStr">
        <is>
          <t>سادساً: احتياطي الطوارئ</t>
        </is>
      </c>
      <c r="C35" s="28" t="n"/>
      <c r="D35" s="28" t="n"/>
      <c r="E35" s="28" t="n"/>
      <c r="F35" s="28" t="n"/>
    </row>
    <row r="36">
      <c r="B36" s="22" t="inlineStr">
        <is>
          <t>احتياطي طوارئ 10% من إجمالي البنود المؤهَّلة</t>
        </is>
      </c>
      <c r="C36" s="44">
        <f>0.1*('CAPEX'!$C$11+'CAPEX'!$C$18+'CAPEX'!$C$24+('CAPEX'!$C$27+'CAPEX'!$C$28)+'CAPEX'!$C$33)</f>
        <v/>
      </c>
      <c r="D36" s="31" t="inlineStr">
        <is>
          <t>ج.م</t>
        </is>
      </c>
      <c r="E36" s="32" t="inlineStr">
        <is>
          <t>⚠ بند مُغفَل — ضروري لمشروع صناعي</t>
        </is>
      </c>
    </row>
    <row r="37">
      <c r="B37" s="45" t="inlineStr">
        <is>
          <t>إجمالي CAPEX المعدّل</t>
        </is>
      </c>
      <c r="C37" s="46">
        <f>'CAPEX'!$C$11+'CAPEX'!$C$18+'CAPEX'!$C$24+('CAPEX'!$C$27+'CAPEX'!$C$28)+'CAPEX'!$C$33+'CAPEX'!$C$36</f>
        <v/>
      </c>
      <c r="D37" s="31" t="inlineStr">
        <is>
          <t>ج.م</t>
        </is>
      </c>
      <c r="E37" s="32" t="inlineStr">
        <is>
          <t>المقارنة: الدراسة 1,520,000 ج (منها 100,000 «ضرائب» مصنّفة خطأً كـ CAPEX)</t>
        </is>
      </c>
    </row>
    <row r="39" ht="21" customHeight="1">
      <c r="B39" s="27" t="inlineStr">
        <is>
          <t>سابعاً: مصروفات ما قبل التشغيل (تُطفأ على 5 سنوات)</t>
        </is>
      </c>
      <c r="C39" s="28" t="n"/>
      <c r="D39" s="28" t="n"/>
      <c r="E39" s="28" t="n"/>
      <c r="F39" s="28" t="n"/>
    </row>
    <row r="40">
      <c r="B40" s="29" t="inlineStr">
        <is>
          <t>تراخيص وسجل صناعي ورسوم هيئة سلامة الغذاء</t>
        </is>
      </c>
      <c r="C40" s="33" t="n">
        <v>45000</v>
      </c>
      <c r="D40" s="31" t="inlineStr">
        <is>
          <t>ج.م</t>
        </is>
      </c>
      <c r="E40" s="32" t="inlineStr">
        <is>
          <t>⚠ بند مُغفَل</t>
        </is>
      </c>
    </row>
    <row r="41">
      <c r="B41" s="29" t="inlineStr">
        <is>
          <t>تأسيس الشركة واستشارات قانونية ومحاسبية</t>
        </is>
      </c>
      <c r="C41" s="33" t="n">
        <v>25000</v>
      </c>
      <c r="D41" s="31" t="inlineStr">
        <is>
          <t>ج.م</t>
        </is>
      </c>
      <c r="E41" s="32" t="inlineStr">
        <is>
          <t>⚠ بند مُغفَل</t>
        </is>
      </c>
    </row>
    <row r="42">
      <c r="B42" s="29" t="inlineStr">
        <is>
          <t>تدريب وتأهيل وتسويق افتتاحي</t>
        </is>
      </c>
      <c r="C42" s="33" t="n">
        <v>15000</v>
      </c>
      <c r="D42" s="31" t="inlineStr">
        <is>
          <t>ج.م</t>
        </is>
      </c>
      <c r="E42" s="32" t="inlineStr">
        <is>
          <t>⚠ بند مُغفَل</t>
        </is>
      </c>
    </row>
    <row r="43">
      <c r="B43" s="34" t="inlineStr">
        <is>
          <t>إجمالي مصروفات ما قبل التشغيل</t>
        </is>
      </c>
      <c r="C43" s="35">
        <f>SUM('CAPEX'!$C$40:'CAPEX'!$C$42)</f>
        <v/>
      </c>
      <c r="D43" s="31" t="inlineStr">
        <is>
          <t>ج.م</t>
        </is>
      </c>
      <c r="E43" s="32" t="inlineStr">
        <is>
          <t>مجموع البنود</t>
        </is>
      </c>
    </row>
    <row r="44">
      <c r="B44" s="45" t="inlineStr">
        <is>
          <t>إجمالي الاستثمار الرأسمالي قبل رأس المال العامل</t>
        </is>
      </c>
      <c r="C44" s="46">
        <f>'CAPEX'!$C$37+'CAPEX'!$C$43</f>
        <v/>
      </c>
      <c r="D44" s="31" t="inlineStr">
        <is>
          <t>ج.م</t>
        </is>
      </c>
      <c r="E44" s="32" t="inlineStr">
        <is>
          <t>المقارنة: الدراسة 1,520,000 ج (لا مصروفات ما قبل تشغيل)</t>
        </is>
      </c>
    </row>
    <row r="46" ht="21" customHeight="1">
      <c r="B46" s="27" t="inlineStr">
        <is>
          <t>ثامناً: الاهتلاك السنوي والاحتياطيات</t>
        </is>
      </c>
      <c r="C46" s="28" t="n"/>
      <c r="D46" s="28" t="n"/>
      <c r="E46" s="28" t="n"/>
      <c r="F46" s="28" t="n"/>
    </row>
    <row r="47">
      <c r="B47" s="22" t="inlineStr">
        <is>
          <t>الاهتلاك السنوي (خط مستقيم على عمر المشروع)</t>
        </is>
      </c>
      <c r="C47" s="44">
        <f>'CAPEX'!$C$37/'الافتراضات'!$C$10</f>
        <v/>
      </c>
      <c r="D47" s="31" t="inlineStr">
        <is>
          <t>ج.م/سنة</t>
        </is>
      </c>
      <c r="E47" s="32" t="inlineStr">
        <is>
          <t>الدراسة: 152,000 ج/سنة على 10 سنوات بقيمة تخريبية صفر</t>
        </is>
      </c>
    </row>
    <row r="48">
      <c r="B48" s="22" t="inlineStr">
        <is>
          <t>إطفاء مصروفات ما قبل التشغيل (5 سنوات)</t>
        </is>
      </c>
      <c r="C48" s="44">
        <f>'CAPEX'!$C$43/5</f>
        <v/>
      </c>
      <c r="D48" s="31" t="inlineStr">
        <is>
          <t>ج.م/سنة</t>
        </is>
      </c>
      <c r="E48" s="32" t="inlineStr">
        <is>
          <t>بند غير موجود في الدراسة</t>
        </is>
      </c>
    </row>
    <row r="49">
      <c r="B49" s="34" t="inlineStr">
        <is>
          <t>القيمة التخريبية التقديرية للمعدات (نهاية العمر)</t>
        </is>
      </c>
      <c r="C49" s="35">
        <f>'الافتراضات'!$C$16*('CAPEX'!$C$11+'CAPEX'!$C$18)</f>
        <v/>
      </c>
      <c r="D49" s="31" t="inlineStr">
        <is>
          <t>ج.م</t>
        </is>
      </c>
      <c r="E49" s="32" t="inlineStr">
        <is>
          <t>تُسترد في السنة 10 — الدراسة افترضت قيمة تخريبية صفر</t>
        </is>
      </c>
    </row>
    <row r="50">
      <c r="B50" s="45" t="inlineStr">
        <is>
          <t>إجمالي الاهتلاك والإطفاء السنوي</t>
        </is>
      </c>
      <c r="C50" s="46">
        <f>'CAPEX'!$C$47+'CAPEX'!$C$48</f>
        <v/>
      </c>
      <c r="D50" s="31" t="inlineStr">
        <is>
          <t>ج.م/سنة</t>
        </is>
      </c>
      <c r="E50" s="32" t="inlineStr">
        <is>
          <t>المقارنة: الدراسة 152,000 ج/سنة</t>
        </is>
      </c>
    </row>
  </sheetData>
  <mergeCells count="40">
    <mergeCell ref="E43:F43"/>
    <mergeCell ref="E50:F50"/>
    <mergeCell ref="E24:F24"/>
    <mergeCell ref="E33:F33"/>
    <mergeCell ref="E42:F42"/>
    <mergeCell ref="E23:F23"/>
    <mergeCell ref="B46:F46"/>
    <mergeCell ref="E14:F14"/>
    <mergeCell ref="E48:F48"/>
    <mergeCell ref="E17:F17"/>
    <mergeCell ref="E8:F8"/>
    <mergeCell ref="E44:F44"/>
    <mergeCell ref="B39:F39"/>
    <mergeCell ref="B2:F2"/>
    <mergeCell ref="E10:F10"/>
    <mergeCell ref="E28:F28"/>
    <mergeCell ref="B1:F1"/>
    <mergeCell ref="E40:F40"/>
    <mergeCell ref="E9:F9"/>
    <mergeCell ref="E31:F31"/>
    <mergeCell ref="B13:F13"/>
    <mergeCell ref="E15:F15"/>
    <mergeCell ref="E11:F11"/>
    <mergeCell ref="E49:F49"/>
    <mergeCell ref="E27:F27"/>
    <mergeCell ref="E36:F36"/>
    <mergeCell ref="B30:F30"/>
    <mergeCell ref="B6:F6"/>
    <mergeCell ref="E16:F16"/>
    <mergeCell ref="E32:F32"/>
    <mergeCell ref="E7:F7"/>
    <mergeCell ref="B20:F20"/>
    <mergeCell ref="E41:F41"/>
    <mergeCell ref="E37:F37"/>
    <mergeCell ref="E22:F22"/>
    <mergeCell ref="E18:F18"/>
    <mergeCell ref="B26:F26"/>
    <mergeCell ref="E47:F47"/>
    <mergeCell ref="E21:F21"/>
    <mergeCell ref="B35:F35"/>
  </mergeCells>
  <pageMargins left="0.75" right="0.75" top="1" bottom="1" header="0.5" footer="0.5"/>
</worksheet>
</file>

<file path=xl/worksheets/sheet4.xml><?xml version="1.0" encoding="utf-8"?>
<worksheet xmlns="http://schemas.openxmlformats.org/spreadsheetml/2006/main">
  <sheetPr>
    <tabColor rgb="00E2EFDA"/>
    <outlinePr summaryBelow="1" summaryRight="1"/>
    <pageSetUpPr/>
  </sheetPr>
  <dimension ref="B1:G33"/>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52" customWidth="1" min="2" max="2"/>
    <col width="18" customWidth="1" min="3" max="3"/>
    <col width="18" customWidth="1" min="4" max="4"/>
    <col width="18" customWidth="1" min="5" max="5"/>
    <col width="18" customWidth="1" min="6" max="6"/>
  </cols>
  <sheetData>
    <row r="1" ht="30" customHeight="1">
      <c r="B1" s="25" t="inlineStr">
        <is>
          <t>التكاليف التشغيلية الموحّدة — سنة الأساس 1 (طاقة كاملة)</t>
        </is>
      </c>
      <c r="C1" s="2" t="n"/>
      <c r="D1" s="2" t="n"/>
      <c r="E1" s="2" t="n"/>
      <c r="F1" s="2" t="n"/>
    </row>
    <row r="2">
      <c r="B2" s="26" t="inlineStr">
        <is>
          <t>الكميات مقيّدة بقدرة المضرب (52 طن شعير/شهر). النخالة والكسر نواتج داخلية تُستهلك في العلف — لا تُدرج كتكلفة نقدية إضافية.</t>
        </is>
      </c>
    </row>
    <row r="5" ht="21" customHeight="1">
      <c r="B5" s="27" t="inlineStr">
        <is>
          <t>أولاً: الكميات المنتجة والمُعالجة (شهرية)</t>
        </is>
      </c>
      <c r="C5" s="28" t="n"/>
      <c r="D5" s="28" t="n"/>
      <c r="E5" s="28" t="n"/>
      <c r="F5" s="28" t="n"/>
    </row>
    <row r="6" ht="18" customHeight="1">
      <c r="B6" s="38" t="inlineStr">
        <is>
          <t>البند</t>
        </is>
      </c>
      <c r="C6" s="38" t="inlineStr">
        <is>
          <t>الكمية</t>
        </is>
      </c>
      <c r="D6" s="38" t="inlineStr">
        <is>
          <t>الوحدة</t>
        </is>
      </c>
      <c r="E6" s="38" t="inlineStr">
        <is>
          <t>المعادلة / المرجع</t>
        </is>
      </c>
      <c r="F6" s="38" t="inlineStr"/>
      <c r="G6" s="38" t="inlineStr"/>
    </row>
    <row r="7">
      <c r="B7" s="22" t="inlineStr">
        <is>
          <t>الشعير المعالج</t>
        </is>
      </c>
      <c r="C7" s="44">
        <f>('الافتراضات'!$C$9*'الافتراضات'!$F$27)</f>
        <v/>
      </c>
      <c r="D7" s="31" t="inlineStr">
        <is>
          <t>طن/شهر</t>
        </is>
      </c>
      <c r="E7" s="32" t="inlineStr">
        <is>
          <t>القدرة × أيام العمل × معامل حجم السيناريو</t>
        </is>
      </c>
    </row>
    <row r="8">
      <c r="B8" s="22" t="inlineStr">
        <is>
          <t>الأرز الأبيض الناتج (حبة كاملة)</t>
        </is>
      </c>
      <c r="C8" s="47">
        <f>'OPEX'!$C$7*'الافتراضات'!$C$51</f>
        <v/>
      </c>
      <c r="D8" s="31" t="inlineStr">
        <is>
          <t>طن/شهر</t>
        </is>
      </c>
      <c r="E8" s="32" t="inlineStr">
        <is>
          <t>⚠ الدراسة: 35 طن (67.3%)</t>
        </is>
      </c>
    </row>
    <row r="9">
      <c r="B9" s="22" t="inlineStr">
        <is>
          <t>الكسر والشوائب</t>
        </is>
      </c>
      <c r="C9" s="47">
        <f>'OPEX'!$C$7*'الافتراضات'!$C$52</f>
        <v/>
      </c>
      <c r="D9" s="31" t="inlineStr">
        <is>
          <t>طن/شهر</t>
        </is>
      </c>
      <c r="E9" s="32" t="inlineStr">
        <is>
          <t>يُستهلك بالكامل في العلف</t>
        </is>
      </c>
    </row>
    <row r="10">
      <c r="B10" s="22" t="inlineStr">
        <is>
          <t>نخالة الأرز</t>
        </is>
      </c>
      <c r="C10" s="47">
        <f>'OPEX'!$C$7*'الافتراضات'!$C$53</f>
        <v/>
      </c>
      <c r="D10" s="31" t="inlineStr">
        <is>
          <t>طن/شهر</t>
        </is>
      </c>
      <c r="E10" s="32" t="inlineStr">
        <is>
          <t>يُستهلك بالكامل في العلف</t>
        </is>
      </c>
    </row>
    <row r="11">
      <c r="B11" s="22" t="inlineStr">
        <is>
          <t>السرس (القشور)</t>
        </is>
      </c>
      <c r="C11" s="47">
        <f>'OPEX'!$C$7*'الافتراضات'!$C$54</f>
        <v/>
      </c>
      <c r="D11" s="31" t="inlineStr">
        <is>
          <t>طن/شهر</t>
        </is>
      </c>
      <c r="E11" s="32" t="inlineStr">
        <is>
          <t>يُباع كوقود/سماد</t>
        </is>
      </c>
    </row>
    <row r="12">
      <c r="B12" s="22" t="inlineStr">
        <is>
          <t>الدفعة الشهرية للعلف</t>
        </is>
      </c>
      <c r="C12" s="47">
        <f>('OPEX'!$C$10+'OPEX'!$C$9)/('الافتراضات'!$C$60+'الافتراضات'!$C$61)</f>
        <v/>
      </c>
      <c r="D12" s="31" t="inlineStr">
        <is>
          <t>طن/شهر</t>
        </is>
      </c>
      <c r="E12" s="32" t="inlineStr">
        <is>
          <t>مقيّدة بإتاحة النخالة والكسر (40% من الخلطة) ⇒ القيد الحاكم للطاقة</t>
        </is>
      </c>
    </row>
    <row r="14" ht="21" customHeight="1">
      <c r="B14" s="27" t="inlineStr">
        <is>
          <t>ثانياً: التكاليف المتغيرة (سنة 1)</t>
        </is>
      </c>
      <c r="C14" s="28" t="n"/>
      <c r="D14" s="28" t="n"/>
      <c r="E14" s="28" t="n"/>
      <c r="F14" s="28" t="n"/>
    </row>
    <row r="15" ht="18" customHeight="1">
      <c r="B15" s="38" t="inlineStr">
        <is>
          <t>البند</t>
        </is>
      </c>
      <c r="C15" s="38" t="inlineStr">
        <is>
          <t>شهري (ج.م)</t>
        </is>
      </c>
      <c r="D15" s="38" t="inlineStr">
        <is>
          <t>سنوي (ج.م)</t>
        </is>
      </c>
      <c r="E15" s="38" t="inlineStr">
        <is>
          <t>المعادلة / الملاحظة</t>
        </is>
      </c>
      <c r="F15" s="38" t="inlineStr"/>
      <c r="G15" s="38" t="inlineStr"/>
    </row>
    <row r="16">
      <c r="B16" s="22" t="inlineStr">
        <is>
          <t>شراء الشعير العريض</t>
        </is>
      </c>
      <c r="C16" s="44">
        <f>'OPEX'!$C$7*'الافتراضات'!$C$32*'الافتراضات'!$F$24</f>
        <v/>
      </c>
      <c r="D16" s="31">
        <f>C16*12</f>
        <v/>
      </c>
      <c r="E16" s="32" t="inlineStr">
        <is>
          <t>الكمية × السعر — أكبر بند تكلفة (≈68% من المتغير)</t>
        </is>
      </c>
    </row>
    <row r="17">
      <c r="B17" s="22" t="inlineStr">
        <is>
          <t>تغليف الأرز</t>
        </is>
      </c>
      <c r="C17" s="44">
        <f>'OPEX'!$C$8*'الافتراضات'!$C$44</f>
        <v/>
      </c>
      <c r="D17" s="31">
        <f>C17*12</f>
        <v/>
      </c>
      <c r="E17" s="32" t="inlineStr">
        <is>
          <t>⚠ الدراسة: 20,000 ج/شهر = 571 ج/طن أرز — مبالغ فيه</t>
        </is>
      </c>
    </row>
    <row r="18">
      <c r="B18" s="22" t="inlineStr">
        <is>
          <t>متوسط تكلفة طن مكونات العلف الخارجية</t>
        </is>
      </c>
      <c r="C18" s="48">
        <f>'الافتراضات'!$C$62*'الافتراضات'!$C$38+'الافتراضات'!$C$63*'الافتراضات'!$C$39+'الافتراضات'!$C$64*'الافتراضات'!$C$40+'الافتراضات'!$C$65*'الافتراضات'!$C$41+'الافتراضات'!$C$66*'الافتراضات'!$C$42+'الافتراضات'!$C$67*'الافتراضات'!$C$43</f>
        <v/>
      </c>
      <c r="D18" s="31" t="inlineStr"/>
      <c r="E18" s="32" t="inlineStr">
        <is>
          <t>ذرة + كسب صويا + إضافات (بدون النواتج الداخلية)</t>
        </is>
      </c>
    </row>
    <row r="19">
      <c r="B19" s="22" t="inlineStr">
        <is>
          <t>مكونات العلف الخارجية</t>
        </is>
      </c>
      <c r="C19" s="44">
        <f>'OPEX'!$C$12*'OPEX'!$C$18</f>
        <v/>
      </c>
      <c r="D19" s="31">
        <f>C19*12</f>
        <v/>
      </c>
      <c r="E19" s="32" t="inlineStr">
        <is>
          <t>⚠ الدراسة: 149,450 ج/شهر بأسعار ذرة وصويا أقل من السوق</t>
        </is>
      </c>
    </row>
    <row r="20">
      <c r="B20" s="22" t="inlineStr">
        <is>
          <t>تعبئة العلف</t>
        </is>
      </c>
      <c r="C20" s="44">
        <f>'OPEX'!$C$12*'الافتراضات'!$C$45</f>
        <v/>
      </c>
      <c r="D20" s="31">
        <f>C20*12</f>
        <v/>
      </c>
      <c r="E20" s="32" t="inlineStr">
        <is>
          <t>17.5 طن × 500 ج</t>
        </is>
      </c>
    </row>
    <row r="21">
      <c r="B21" s="22" t="inlineStr">
        <is>
          <t>نقل العلف للعملاء</t>
        </is>
      </c>
      <c r="C21" s="44">
        <f>'OPEX'!$C$12*'الافتراضات'!$C$46</f>
        <v/>
      </c>
      <c r="D21" s="31">
        <f>C21*12</f>
        <v/>
      </c>
      <c r="E21" s="32" t="inlineStr">
        <is>
          <t>17.5 طن × 500 ج</t>
        </is>
      </c>
    </row>
    <row r="22">
      <c r="B22" s="22" t="inlineStr">
        <is>
          <t>عمولات تسويق وتوزيع الأرز</t>
        </is>
      </c>
      <c r="C22" s="44">
        <f>'OPEX'!$C$8*'الافتراضات'!$C$33*'الافتراضات'!$F$25*'الافتراضات'!$C$47</f>
        <v/>
      </c>
      <c r="D22" s="31">
        <f>C22*12</f>
        <v/>
      </c>
      <c r="E22" s="32" t="inlineStr">
        <is>
          <t>⚠ بند مُغفَل تماماً في الدراسة</t>
        </is>
      </c>
    </row>
    <row r="23">
      <c r="B23" s="45" t="inlineStr">
        <is>
          <t>إجمالي التكاليف المتغيرة</t>
        </is>
      </c>
      <c r="C23" s="46">
        <f>'OPEX'!$C$16+'OPEX'!$C$17+'OPEX'!$C$19+'OPEX'!$C$20+'OPEX'!$C$21+'OPEX'!$C$22</f>
        <v/>
      </c>
      <c r="D23" s="31">
        <f>C23*12</f>
        <v/>
      </c>
      <c r="E23" s="32" t="inlineStr">
        <is>
          <t>المقارنة: الدراسة 992,950 ج/شهر</t>
        </is>
      </c>
    </row>
    <row r="25" ht="21" customHeight="1">
      <c r="B25" s="27" t="inlineStr">
        <is>
          <t>ثالثاً: التكاليف الثابتة (سنة 1)</t>
        </is>
      </c>
      <c r="C25" s="28" t="n"/>
      <c r="D25" s="28" t="n"/>
      <c r="E25" s="28" t="n"/>
      <c r="F25" s="28" t="n"/>
    </row>
    <row r="26" ht="18" customHeight="1">
      <c r="B26" s="38" t="inlineStr">
        <is>
          <t>البند</t>
        </is>
      </c>
      <c r="C26" s="38" t="inlineStr">
        <is>
          <t>شهري (ج.م)</t>
        </is>
      </c>
      <c r="D26" s="38" t="inlineStr">
        <is>
          <t>سنوي (ج.م)</t>
        </is>
      </c>
      <c r="E26" s="38" t="inlineStr">
        <is>
          <t>المعادلة / الملاحظة</t>
        </is>
      </c>
      <c r="F26" s="38" t="inlineStr"/>
      <c r="G26" s="38" t="inlineStr"/>
    </row>
    <row r="27">
      <c r="B27" s="22" t="inlineStr">
        <is>
          <t>مصاريف مضرب الأرز الثابتة</t>
        </is>
      </c>
      <c r="C27" s="44">
        <f>'الافتراضات'!$C$93</f>
        <v/>
      </c>
      <c r="D27" s="31">
        <f>C27*12</f>
        <v/>
      </c>
      <c r="E27" s="32" t="inlineStr">
        <is>
          <t>8–11 بنداً مفصّلة في ورقة الافتراضات</t>
        </is>
      </c>
    </row>
    <row r="28">
      <c r="B28" s="22" t="inlineStr">
        <is>
          <t>مصاريف مصنع العلف الثابتة</t>
        </is>
      </c>
      <c r="C28" s="44">
        <f>'الافتراضات'!$C$99</f>
        <v/>
      </c>
      <c r="D28" s="31">
        <f>C28*12</f>
        <v/>
      </c>
      <c r="E28" s="32" t="inlineStr">
        <is>
          <t>الدراسة: 14,000 ج/شهر بعامل واحد فقط</t>
        </is>
      </c>
    </row>
    <row r="29">
      <c r="B29" s="22" t="inlineStr">
        <is>
          <t>البنود المشتركة والمغفلة (رسوم، إطفاء، احتياطي إحلال)</t>
        </is>
      </c>
      <c r="C29" s="44">
        <f>'الافتراضات'!$C$103</f>
        <v/>
      </c>
      <c r="D29" s="31">
        <f>C29*12</f>
        <v/>
      </c>
      <c r="E29" s="32" t="inlineStr">
        <is>
          <t>⚠ غير موجودة في الدراسة</t>
        </is>
      </c>
    </row>
    <row r="30">
      <c r="B30" s="45" t="inlineStr">
        <is>
          <t>إجمالي التكاليف الثابتة</t>
        </is>
      </c>
      <c r="C30" s="46">
        <f>'الافتراضات'!$C$104</f>
        <v/>
      </c>
      <c r="D30" s="31">
        <f>C30*12</f>
        <v/>
      </c>
      <c r="E30" s="32" t="inlineStr">
        <is>
          <t>المقارنة: الدراسة 98,500 ج/شهر</t>
        </is>
      </c>
    </row>
    <row r="32">
      <c r="B32" s="45" t="inlineStr">
        <is>
          <t>إجمالي OPEX (متغير + ثابت)</t>
        </is>
      </c>
      <c r="C32" s="46">
        <f>'OPEX'!$C$23+'OPEX'!$C$30</f>
        <v/>
      </c>
      <c r="D32" s="31">
        <f>C32*12</f>
        <v/>
      </c>
      <c r="E32" s="32" t="inlineStr">
        <is>
          <t>المقارنة: الدراسة 1,091,450 ج/شهر</t>
        </is>
      </c>
    </row>
    <row r="33" ht="26" customHeight="1">
      <c r="B33" s="49" t="inlineStr">
        <is>
          <t>ملاحظة: التكاليف الثابتة في سنة الأساس. التصعيد السنوي يُطبّق في ورقة التدفق السنوي بمعدل «تضخم التكاليف الثابتة» حسب السيناريو.</t>
        </is>
      </c>
    </row>
  </sheetData>
  <mergeCells count="25">
    <mergeCell ref="E12:F12"/>
    <mergeCell ref="B25:F25"/>
    <mergeCell ref="E23:F23"/>
    <mergeCell ref="E17:F17"/>
    <mergeCell ref="E8:F8"/>
    <mergeCell ref="E20:F20"/>
    <mergeCell ref="B2:F2"/>
    <mergeCell ref="E10:F10"/>
    <mergeCell ref="E29:F29"/>
    <mergeCell ref="E19:F19"/>
    <mergeCell ref="E28:F28"/>
    <mergeCell ref="B1:F1"/>
    <mergeCell ref="B14:F14"/>
    <mergeCell ref="E9:F9"/>
    <mergeCell ref="E30:F30"/>
    <mergeCell ref="E11:F11"/>
    <mergeCell ref="E27:F27"/>
    <mergeCell ref="E16:F16"/>
    <mergeCell ref="E32:F32"/>
    <mergeCell ref="E7:F7"/>
    <mergeCell ref="B33:F33"/>
    <mergeCell ref="B5:F5"/>
    <mergeCell ref="E22:F22"/>
    <mergeCell ref="E18:F18"/>
    <mergeCell ref="E21:F21"/>
  </mergeCells>
  <pageMargins left="0.75" right="0.75" top="1" bottom="1" header="0.5" footer="0.5"/>
</worksheet>
</file>

<file path=xl/worksheets/sheet5.xml><?xml version="1.0" encoding="utf-8"?>
<worksheet xmlns="http://schemas.openxmlformats.org/spreadsheetml/2006/main">
  <sheetPr>
    <tabColor rgb="00DDEBF7"/>
    <outlinePr summaryBelow="1" summaryRight="1"/>
    <pageSetUpPr/>
  </sheetPr>
  <dimension ref="B1:N36"/>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50" customWidth="1" min="2" max="2"/>
    <col width="18" customWidth="1" min="3" max="3"/>
    <col width="18" customWidth="1" min="4" max="4"/>
    <col width="18" customWidth="1" min="5" max="5"/>
    <col width="18" customWidth="1" min="6" max="6"/>
  </cols>
  <sheetData>
    <row r="1" ht="30" customHeight="1">
      <c r="B1" s="25" t="inlineStr">
        <is>
          <t>الإيرادات — الكميات والأسعار وبناء الإيراد</t>
        </is>
      </c>
      <c r="C1" s="2" t="n"/>
      <c r="D1" s="2" t="n"/>
      <c r="E1" s="2" t="n"/>
      <c r="F1" s="2" t="n"/>
    </row>
    <row r="2">
      <c r="B2" s="26" t="inlineStr">
        <is>
          <t>الإيراد مقيد بالقدرة الإنتاجية (52 طن شعير/شهر). التصعيد السنوي = معامل تضخم أسعار البيع حسب السيناريو.</t>
        </is>
      </c>
    </row>
    <row r="5" ht="21" customHeight="1">
      <c r="B5" s="27" t="inlineStr">
        <is>
          <t>أولاً: الكميات والأسعار (سنة 1)</t>
        </is>
      </c>
      <c r="C5" s="28" t="n"/>
      <c r="D5" s="28" t="n"/>
      <c r="E5" s="28" t="n"/>
      <c r="F5" s="28" t="n"/>
    </row>
    <row r="6" ht="18" customHeight="1">
      <c r="B6" s="38" t="inlineStr">
        <is>
          <t>البند</t>
        </is>
      </c>
      <c r="C6" s="38" t="inlineStr">
        <is>
          <t>شهري</t>
        </is>
      </c>
      <c r="D6" s="38" t="inlineStr">
        <is>
          <t>سنوي</t>
        </is>
      </c>
      <c r="E6" s="38" t="inlineStr">
        <is>
          <t>المرجع / الملاحظة</t>
        </is>
      </c>
      <c r="F6" s="38" t="inlineStr"/>
      <c r="G6" s="38" t="inlineStr"/>
    </row>
    <row r="7">
      <c r="B7" s="22" t="inlineStr">
        <is>
          <t>الشعير المعالج (طن)</t>
        </is>
      </c>
      <c r="C7" s="47">
        <f>'OPEX'!$C$7</f>
        <v/>
      </c>
      <c r="D7" s="31">
        <f>C7*12</f>
        <v/>
      </c>
      <c r="E7" s="32" t="inlineStr">
        <is>
          <t>قدرة 2 طن/يوم × 26 يوم × معامل الحجم</t>
        </is>
      </c>
    </row>
    <row r="8">
      <c r="B8" s="22" t="inlineStr">
        <is>
          <t>الأرز الأبيض المعبأ (طن)</t>
        </is>
      </c>
      <c r="C8" s="47">
        <f>'OPEX'!$C$8</f>
        <v/>
      </c>
      <c r="D8" s="31">
        <f>C8*12</f>
        <v/>
      </c>
      <c r="E8" s="32" t="inlineStr">
        <is>
          <t>⚠ الدراسة: 35 طن/شهر</t>
        </is>
      </c>
    </row>
    <row r="9">
      <c r="B9" s="22" t="inlineStr">
        <is>
          <t>العلف الجاهز (طن)</t>
        </is>
      </c>
      <c r="C9" s="47">
        <f>'OPEX'!$C$12</f>
        <v/>
      </c>
      <c r="D9" s="31">
        <f>C9*12</f>
        <v/>
      </c>
      <c r="E9" s="32" t="inlineStr">
        <is>
          <t>⚠ الدراسة: 17.5 طن/شهر</t>
        </is>
      </c>
    </row>
    <row r="10">
      <c r="B10" s="22" t="inlineStr">
        <is>
          <t>السرس (طن)</t>
        </is>
      </c>
      <c r="C10" s="47">
        <f>'OPEX'!$C$11</f>
        <v/>
      </c>
      <c r="D10" s="31">
        <f>C10*12</f>
        <v/>
      </c>
      <c r="E10" s="32" t="inlineStr"/>
    </row>
    <row r="11">
      <c r="B11" s="22" t="inlineStr">
        <is>
          <t>عدد أكياس الأرز 25 كجم</t>
        </is>
      </c>
      <c r="C11" s="44">
        <f>'OPEX'!$C$8*1000/25</f>
        <v/>
      </c>
      <c r="D11" s="31">
        <f>C11*12</f>
        <v/>
      </c>
      <c r="E11" s="32" t="inlineStr"/>
    </row>
    <row r="12">
      <c r="B12" s="22" t="inlineStr">
        <is>
          <t>عدد أكياس العلف 50 كجم</t>
        </is>
      </c>
      <c r="C12" s="44">
        <f>'OPEX'!$C$12*1000/50</f>
        <v/>
      </c>
      <c r="D12" s="31">
        <f>C12*12</f>
        <v/>
      </c>
      <c r="E12" s="32" t="inlineStr"/>
    </row>
    <row r="14" ht="21" customHeight="1">
      <c r="B14" s="27" t="inlineStr">
        <is>
          <t>ثانياً: بناء الإيراد (سنة 1)</t>
        </is>
      </c>
      <c r="C14" s="28" t="n"/>
      <c r="D14" s="28" t="n"/>
      <c r="E14" s="28" t="n"/>
      <c r="F14" s="28" t="n"/>
    </row>
    <row r="15" ht="18" customHeight="1">
      <c r="B15" s="38" t="inlineStr">
        <is>
          <t>البند</t>
        </is>
      </c>
      <c r="C15" s="38" t="inlineStr">
        <is>
          <t>شهري (ج.م)</t>
        </is>
      </c>
      <c r="D15" s="38" t="inlineStr">
        <is>
          <t>سنوي (ج.م)</t>
        </is>
      </c>
      <c r="E15" s="38" t="inlineStr">
        <is>
          <t>السعر / الملاحظة</t>
        </is>
      </c>
      <c r="F15" s="38" t="inlineStr"/>
      <c r="G15" s="38" t="inlineStr"/>
    </row>
    <row r="16">
      <c r="B16" s="22" t="inlineStr">
        <is>
          <t>إيراد الأرز الأبيض المعبأ</t>
        </is>
      </c>
      <c r="C16" s="44">
        <f>'OPEX'!$C$8*'الافتراضات'!$C$33*'الافتراضات'!$F$25</f>
        <v/>
      </c>
      <c r="D16" s="31">
        <f>C16*12</f>
        <v/>
      </c>
      <c r="E16" s="32" t="inlineStr">
        <is>
          <t>سعر 25,000 ج/طن × معامل السيناريو ⇒ ≈25.0 ج/كجم</t>
        </is>
      </c>
    </row>
    <row r="17">
      <c r="B17" s="22" t="inlineStr">
        <is>
          <t>إيراد العلف الجاهز</t>
        </is>
      </c>
      <c r="C17" s="44">
        <f>'OPEX'!$C$12*'الافتراضات'!$C$34*'الافتراضات'!$F$26</f>
        <v/>
      </c>
      <c r="D17" s="31">
        <f>C17*12</f>
        <v/>
      </c>
      <c r="E17" s="32" t="inlineStr">
        <is>
          <t>سعر 19,000 ج/طن ⇒ ≈19.0 ج/كجم</t>
        </is>
      </c>
    </row>
    <row r="18">
      <c r="B18" s="22" t="inlineStr">
        <is>
          <t>قيمة السرس</t>
        </is>
      </c>
      <c r="C18" s="44">
        <f>'OPEX'!$C$11*'الافتراضات'!$C$35</f>
        <v/>
      </c>
      <c r="D18" s="31">
        <f>C18*12</f>
        <v/>
      </c>
      <c r="E18" s="32" t="inlineStr">
        <is>
          <t>1,000 ج/طن</t>
        </is>
      </c>
    </row>
    <row r="19">
      <c r="B19" s="45" t="inlineStr">
        <is>
          <t>إجمالي الإيراد</t>
        </is>
      </c>
      <c r="C19" s="46">
        <f>SUM(C16:C18)</f>
        <v/>
      </c>
      <c r="D19" s="31">
        <f>C19*12</f>
        <v/>
      </c>
      <c r="E19" s="32" t="inlineStr">
        <is>
          <t>المقارنة: الدراسة 1,217,500 ج/شهر</t>
        </is>
      </c>
    </row>
    <row r="20">
      <c r="B20" s="34" t="inlineStr">
        <is>
          <t>هامش المساهمة</t>
        </is>
      </c>
      <c r="C20" s="35">
        <f>'الإيرادات'!$C$19-'OPEX'!$C$23</f>
        <v/>
      </c>
      <c r="D20" s="31">
        <f>C20*12</f>
        <v/>
      </c>
      <c r="E20" s="32" t="inlineStr">
        <is>
          <t>الإيراد − المتغير</t>
        </is>
      </c>
    </row>
    <row r="22" ht="21" customHeight="1">
      <c r="B22" s="27" t="inlineStr">
        <is>
          <t>ثالثاً: مزيج الإيراد ونسبته</t>
        </is>
      </c>
      <c r="C22" s="28" t="n"/>
      <c r="D22" s="28" t="n"/>
      <c r="E22" s="28" t="n"/>
      <c r="F22" s="28" t="n"/>
    </row>
    <row r="23" ht="18" customHeight="1">
      <c r="B23" s="38" t="inlineStr">
        <is>
          <t>المنتج</t>
        </is>
      </c>
      <c r="C23" s="38" t="inlineStr">
        <is>
          <t>الإيراد السنوي (سنة 1)</t>
        </is>
      </c>
      <c r="D23" s="38" t="inlineStr">
        <is>
          <t>نسبة من الإجمالي</t>
        </is>
      </c>
      <c r="E23" s="38" t="inlineStr">
        <is>
          <t>الملاحظة</t>
        </is>
      </c>
      <c r="F23" s="38" t="inlineStr"/>
      <c r="G23" s="38" t="inlineStr"/>
    </row>
    <row r="24">
      <c r="B24" s="22" t="inlineStr">
        <is>
          <t>السرس</t>
        </is>
      </c>
      <c r="C24" s="50">
        <f>'الإيرادات'!$C$18*12</f>
        <v/>
      </c>
      <c r="D24" s="51">
        <f>'الإيرادات'!$C$18*12/'الإيرادات'!$D$19</f>
        <v/>
      </c>
      <c r="E24" s="12" t="inlineStr">
        <is>
          <t>1 كجم أرز ≈ 5.2 كجم علف مبيع</t>
        </is>
      </c>
    </row>
    <row r="27">
      <c r="B27" s="45" t="inlineStr">
        <is>
          <t>الإجمالي</t>
        </is>
      </c>
      <c r="C27" s="46">
        <f>'الإيرادات'!$D$19</f>
        <v/>
      </c>
      <c r="D27" s="52">
        <f>1</f>
        <v/>
      </c>
    </row>
    <row r="30" ht="21" customHeight="1">
      <c r="B30" s="27" t="inlineStr">
        <is>
          <t>رابعاً: توقّع الإيراد 10 سنوات (ج.م)</t>
        </is>
      </c>
      <c r="C30" s="28" t="n"/>
      <c r="D30" s="28" t="n"/>
      <c r="E30" s="28" t="n"/>
      <c r="F30" s="28" t="n"/>
    </row>
    <row r="31">
      <c r="B31" s="29" t="inlineStr">
        <is>
          <t>السنة</t>
        </is>
      </c>
      <c r="D31" s="30" t="n">
        <v>0</v>
      </c>
      <c r="E31" s="30" t="n">
        <v>1</v>
      </c>
      <c r="F31" s="30" t="n">
        <v>2</v>
      </c>
      <c r="G31" s="30" t="n">
        <v>3</v>
      </c>
      <c r="H31" s="30" t="n">
        <v>4</v>
      </c>
      <c r="I31" s="30" t="n">
        <v>5</v>
      </c>
      <c r="J31" s="30" t="n">
        <v>6</v>
      </c>
      <c r="K31" s="30" t="n">
        <v>7</v>
      </c>
      <c r="L31" s="30" t="n">
        <v>8</v>
      </c>
      <c r="M31" s="30" t="n">
        <v>9</v>
      </c>
      <c r="N31" s="30" t="n">
        <v>10</v>
      </c>
    </row>
    <row r="32">
      <c r="B32" s="22" t="inlineStr">
        <is>
          <t>معامل التصعيد السعري</t>
        </is>
      </c>
      <c r="D32" s="53">
        <f>IF(D31=0,1,POWER(1+'الافتراضات'!$F$21,D31-1))</f>
        <v/>
      </c>
      <c r="E32" s="53">
        <f>IF(D31=0,1,POWER(1+'الافتراضات'!$F$21,D31-1))</f>
        <v/>
      </c>
      <c r="F32" s="53">
        <f>IF(D31=0,1,POWER(1+'الافتراضات'!$F$21,D31-1))</f>
        <v/>
      </c>
      <c r="G32" s="53">
        <f>IF(D31=0,1,POWER(1+'الافتراضات'!$F$21,D31-1))</f>
        <v/>
      </c>
      <c r="H32" s="53">
        <f>IF(D31=0,1,POWER(1+'الافتراضات'!$F$21,D31-1))</f>
        <v/>
      </c>
      <c r="I32" s="53">
        <f>IF(D31=0,1,POWER(1+'الافتراضات'!$F$21,D31-1))</f>
        <v/>
      </c>
      <c r="J32" s="53">
        <f>IF(D31=0,1,POWER(1+'الافتراضات'!$F$21,D31-1))</f>
        <v/>
      </c>
      <c r="K32" s="53">
        <f>IF(D31=0,1,POWER(1+'الافتراضات'!$F$21,D31-1))</f>
        <v/>
      </c>
      <c r="L32" s="53">
        <f>IF(D31=0,1,POWER(1+'الافتراضات'!$F$21,D31-1))</f>
        <v/>
      </c>
      <c r="M32" s="53">
        <f>IF(D31=0,1,POWER(1+'الافتراضات'!$F$21,D31-1))</f>
        <v/>
      </c>
      <c r="N32" s="53">
        <f>IF(D31=0,1,POWER(1+'الافتراضات'!$F$21,D31-1))</f>
        <v/>
      </c>
    </row>
    <row r="33">
      <c r="B33" s="22" t="inlineStr">
        <is>
          <t>إيراد الأرز</t>
        </is>
      </c>
      <c r="D33" s="44">
        <f>IF(D$3=0,0,'الإيرادات'!$C$16*12*D$32)</f>
        <v/>
      </c>
      <c r="E33" s="44">
        <f>IF(D$3=0,0,'الإيرادات'!$C$16*12*D$32)</f>
        <v/>
      </c>
      <c r="F33" s="44">
        <f>IF(D$3=0,0,'الإيرادات'!$C$16*12*D$32)</f>
        <v/>
      </c>
      <c r="G33" s="44">
        <f>IF(D$3=0,0,'الإيرادات'!$C$16*12*D$32)</f>
        <v/>
      </c>
      <c r="H33" s="44">
        <f>IF(D$3=0,0,'الإيرادات'!$C$16*12*D$32)</f>
        <v/>
      </c>
      <c r="I33" s="44">
        <f>IF(D$3=0,0,'الإيرادات'!$C$16*12*D$32)</f>
        <v/>
      </c>
      <c r="J33" s="44">
        <f>IF(D$3=0,0,'الإيرادات'!$C$16*12*D$32)</f>
        <v/>
      </c>
      <c r="K33" s="44">
        <f>IF(D$3=0,0,'الإيرادات'!$C$16*12*D$32)</f>
        <v/>
      </c>
      <c r="L33" s="44">
        <f>IF(D$3=0,0,'الإيرادات'!$C$16*12*D$32)</f>
        <v/>
      </c>
      <c r="M33" s="44">
        <f>IF(D$3=0,0,'الإيرادات'!$C$16*12*D$32)</f>
        <v/>
      </c>
      <c r="N33" s="44">
        <f>IF(D$3=0,0,'الإيرادات'!$C$16*12*D$32)</f>
        <v/>
      </c>
    </row>
    <row r="34">
      <c r="B34" s="22" t="inlineStr">
        <is>
          <t>إيراد العلف</t>
        </is>
      </c>
      <c r="D34" s="44">
        <f>IF(D$3=0,0,'الإيرادات'!$C$17*12*D$32)</f>
        <v/>
      </c>
      <c r="E34" s="44">
        <f>IF(D$3=0,0,'الإيرادات'!$C$17*12*D$32)</f>
        <v/>
      </c>
      <c r="F34" s="44">
        <f>IF(D$3=0,0,'الإيرادات'!$C$17*12*D$32)</f>
        <v/>
      </c>
      <c r="G34" s="44">
        <f>IF(D$3=0,0,'الإيرادات'!$C$17*12*D$32)</f>
        <v/>
      </c>
      <c r="H34" s="44">
        <f>IF(D$3=0,0,'الإيرادات'!$C$17*12*D$32)</f>
        <v/>
      </c>
      <c r="I34" s="44">
        <f>IF(D$3=0,0,'الإيرادات'!$C$17*12*D$32)</f>
        <v/>
      </c>
      <c r="J34" s="44">
        <f>IF(D$3=0,0,'الإيرادات'!$C$17*12*D$32)</f>
        <v/>
      </c>
      <c r="K34" s="44">
        <f>IF(D$3=0,0,'الإيرادات'!$C$17*12*D$32)</f>
        <v/>
      </c>
      <c r="L34" s="44">
        <f>IF(D$3=0,0,'الإيرادات'!$C$17*12*D$32)</f>
        <v/>
      </c>
      <c r="M34" s="44">
        <f>IF(D$3=0,0,'الإيرادات'!$C$17*12*D$32)</f>
        <v/>
      </c>
      <c r="N34" s="44">
        <f>IF(D$3=0,0,'الإيرادات'!$C$17*12*D$32)</f>
        <v/>
      </c>
    </row>
    <row r="35">
      <c r="B35" s="22" t="inlineStr">
        <is>
          <t>إيراد السرس</t>
        </is>
      </c>
      <c r="D35" s="44">
        <f>IF(D$3=0,0,'الإيرادات'!$C$18*12*D$32)</f>
        <v/>
      </c>
      <c r="E35" s="44">
        <f>IF(D$3=0,0,'الإيرادات'!$C$18*12*D$32)</f>
        <v/>
      </c>
      <c r="F35" s="44">
        <f>IF(D$3=0,0,'الإيرادات'!$C$18*12*D$32)</f>
        <v/>
      </c>
      <c r="G35" s="44">
        <f>IF(D$3=0,0,'الإيرادات'!$C$18*12*D$32)</f>
        <v/>
      </c>
      <c r="H35" s="44">
        <f>IF(D$3=0,0,'الإيرادات'!$C$18*12*D$32)</f>
        <v/>
      </c>
      <c r="I35" s="44">
        <f>IF(D$3=0,0,'الإيرادات'!$C$18*12*D$32)</f>
        <v/>
      </c>
      <c r="J35" s="44">
        <f>IF(D$3=0,0,'الإيرادات'!$C$18*12*D$32)</f>
        <v/>
      </c>
      <c r="K35" s="44">
        <f>IF(D$3=0,0,'الإيرادات'!$C$18*12*D$32)</f>
        <v/>
      </c>
      <c r="L35" s="44">
        <f>IF(D$3=0,0,'الإيرادات'!$C$18*12*D$32)</f>
        <v/>
      </c>
      <c r="M35" s="44">
        <f>IF(D$3=0,0,'الإيرادات'!$C$18*12*D$32)</f>
        <v/>
      </c>
      <c r="N35" s="44">
        <f>IF(D$3=0,0,'الإيرادات'!$C$18*12*D$32)</f>
        <v/>
      </c>
    </row>
    <row r="36">
      <c r="B36" s="45" t="inlineStr">
        <is>
          <t>إجمالي الإيراد</t>
        </is>
      </c>
      <c r="D36" s="46">
        <f>IF(D$3=0,0,SUM(D33:D35))</f>
        <v/>
      </c>
      <c r="E36" s="46">
        <f>IF(D$3=0,0,SUM(D33:D35))</f>
        <v/>
      </c>
      <c r="F36" s="46">
        <f>IF(D$3=0,0,SUM(D33:D35))</f>
        <v/>
      </c>
      <c r="G36" s="46">
        <f>IF(D$3=0,0,SUM(D33:D35))</f>
        <v/>
      </c>
      <c r="H36" s="46">
        <f>IF(D$3=0,0,SUM(D33:D35))</f>
        <v/>
      </c>
      <c r="I36" s="46">
        <f>IF(D$3=0,0,SUM(D33:D35))</f>
        <v/>
      </c>
      <c r="J36" s="46">
        <f>IF(D$3=0,0,SUM(D33:D35))</f>
        <v/>
      </c>
      <c r="K36" s="46">
        <f>IF(D$3=0,0,SUM(D33:D35))</f>
        <v/>
      </c>
      <c r="L36" s="46">
        <f>IF(D$3=0,0,SUM(D33:D35))</f>
        <v/>
      </c>
      <c r="M36" s="46">
        <f>IF(D$3=0,0,SUM(D33:D35))</f>
        <v/>
      </c>
      <c r="N36" s="46">
        <f>IF(D$3=0,0,SUM(D33:D35))</f>
        <v/>
      </c>
    </row>
  </sheetData>
  <mergeCells count="18">
    <mergeCell ref="B30:F30"/>
    <mergeCell ref="E12:F12"/>
    <mergeCell ref="E24:G24"/>
    <mergeCell ref="E20:F20"/>
    <mergeCell ref="E16:F16"/>
    <mergeCell ref="B2:F2"/>
    <mergeCell ref="E7:F7"/>
    <mergeCell ref="E10:F10"/>
    <mergeCell ref="E18:F18"/>
    <mergeCell ref="E19:F19"/>
    <mergeCell ref="E11:F11"/>
    <mergeCell ref="B5:F5"/>
    <mergeCell ref="B1:F1"/>
    <mergeCell ref="B14:F14"/>
    <mergeCell ref="B22:F22"/>
    <mergeCell ref="E17:F17"/>
    <mergeCell ref="E9:F9"/>
    <mergeCell ref="E8:F8"/>
  </mergeCells>
  <pageMargins left="0.75" right="0.75" top="1" bottom="1" header="0.5" footer="0.5"/>
</worksheet>
</file>

<file path=xl/worksheets/sheet6.xml><?xml version="1.0" encoding="utf-8"?>
<worksheet xmlns="http://schemas.openxmlformats.org/spreadsheetml/2006/main">
  <sheetPr>
    <tabColor rgb="00FCE4D6"/>
    <outlinePr summaryBelow="1" summaryRight="1"/>
    <pageSetUpPr/>
  </sheetPr>
  <dimension ref="B1:G71"/>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52" customWidth="1" min="2" max="2"/>
    <col width="18" customWidth="1" min="3" max="3"/>
    <col width="18" customWidth="1" min="4" max="4"/>
    <col width="18" customWidth="1" min="5" max="5"/>
    <col width="18" customWidth="1" min="6" max="6"/>
  </cols>
  <sheetData>
    <row r="1" ht="30" customHeight="1">
      <c r="B1" s="25" t="inlineStr">
        <is>
          <t>جدول التكاليف الوحدوية — لكل طن شعير / لكل كجم أرز معبأ / لكل طن علف</t>
        </is>
      </c>
      <c r="C1" s="2" t="n"/>
      <c r="D1" s="2" t="n"/>
      <c r="E1" s="2" t="n"/>
      <c r="F1" s="2" t="n"/>
    </row>
    <row r="2">
      <c r="B2" s="26" t="inlineStr">
        <is>
          <t>التكاليف المحسوبة تحمّل كل منتج بنصيبه من المتغير والثابت. الفروق المقارنة مع الدراسة مُبيّنة في الملاحظات.</t>
        </is>
      </c>
    </row>
    <row r="5" ht="21" customHeight="1">
      <c r="B5" s="27" t="inlineStr">
        <is>
          <t>أ) تحليل الطن الواحد من الشعير المعالج</t>
        </is>
      </c>
      <c r="C5" s="28" t="n"/>
      <c r="D5" s="28" t="n"/>
      <c r="E5" s="28" t="n"/>
      <c r="F5" s="28" t="n"/>
    </row>
    <row r="6" ht="18" customHeight="1">
      <c r="B6" s="38" t="inlineStr">
        <is>
          <t>البند</t>
        </is>
      </c>
      <c r="C6" s="38" t="inlineStr">
        <is>
          <t>القيمة</t>
        </is>
      </c>
      <c r="D6" s="38" t="inlineStr">
        <is>
          <t>الوحدة</t>
        </is>
      </c>
      <c r="E6" s="38" t="inlineStr">
        <is>
          <t>المعادلة / الملاحظة</t>
        </is>
      </c>
      <c r="F6" s="38" t="inlineStr"/>
      <c r="G6" s="38" t="inlineStr"/>
    </row>
    <row r="7">
      <c r="B7" s="22" t="inlineStr">
        <is>
          <t>إيراد الأرز الأبيض لكل طن شعير</t>
        </is>
      </c>
      <c r="C7" s="48">
        <f>'OPEX'!$C$8*'الافتراضات'!$C$33*'الافتراضات'!$F$25/'OPEX'!$C$7</f>
        <v/>
      </c>
      <c r="D7" s="31" t="inlineStr">
        <is>
          <t>ج.م/طن شعير</t>
        </is>
      </c>
      <c r="E7" s="32" t="inlineStr">
        <is>
          <t>معدل استرداد × سعر البيع</t>
        </is>
      </c>
    </row>
    <row r="8">
      <c r="B8" s="22" t="inlineStr">
        <is>
          <t>إيراد العلف لكل طن شعير</t>
        </is>
      </c>
      <c r="C8" s="48">
        <f>'OPEX'!$C$12*'الافتراضات'!$C$34*'الافتراضات'!$F$26/'OPEX'!$C$7</f>
        <v/>
      </c>
      <c r="D8" s="31" t="inlineStr">
        <is>
          <t>ج.م/طن شعير</t>
        </is>
      </c>
      <c r="E8" s="32" t="inlineStr">
        <is>
          <t>إنتاج العلف مقيد بإتاحة النخالة والكسر</t>
        </is>
      </c>
    </row>
    <row r="9">
      <c r="B9" s="22" t="inlineStr">
        <is>
          <t>إيراد السرس لكل طن شعير</t>
        </is>
      </c>
      <c r="C9" s="48">
        <f>'OPEX'!$C$11*'الافتراضات'!$C$35/'OPEX'!$C$7</f>
        <v/>
      </c>
      <c r="D9" s="31" t="inlineStr">
        <is>
          <t>ج.م/طن شعير</t>
        </is>
      </c>
      <c r="E9" s="32" t="inlineStr">
        <is>
          <t>قيمة منخفضة</t>
        </is>
      </c>
    </row>
    <row r="10">
      <c r="B10" s="34" t="inlineStr">
        <is>
          <t>إجمالي الإيراد لكل طن شعير</t>
        </is>
      </c>
      <c r="C10" s="54">
        <f>C7+C8+C9</f>
        <v/>
      </c>
      <c r="D10" s="31" t="inlineStr">
        <is>
          <t>ج.م/طن شعير</t>
        </is>
      </c>
      <c r="E10" s="32" t="inlineStr">
        <is>
          <t>مقابل 23,413 ج في الدراسة</t>
        </is>
      </c>
    </row>
    <row r="11">
      <c r="B11" s="22" t="inlineStr">
        <is>
          <t>تكلفة شراء الشعير لكل طن</t>
        </is>
      </c>
      <c r="C11" s="48">
        <f>'الافتراضات'!$C$32*'الافتراضات'!$F$24</f>
        <v/>
      </c>
      <c r="D11" s="31" t="inlineStr">
        <is>
          <t>ج.م/طن شعير</t>
        </is>
      </c>
      <c r="E11" s="32" t="inlineStr">
        <is>
          <t>≈68% من التكلفة المتغيرة</t>
        </is>
      </c>
    </row>
    <row r="12">
      <c r="B12" s="22" t="inlineStr">
        <is>
          <t>نصيب تغليف الأرز</t>
        </is>
      </c>
      <c r="C12" s="48">
        <f>'OPEX'!$C$17/'OPEX'!$C$7</f>
        <v/>
      </c>
      <c r="D12" s="31" t="inlineStr">
        <is>
          <t>ج.م/طن شعير</t>
        </is>
      </c>
      <c r="E12" s="32" t="inlineStr"/>
    </row>
    <row r="13">
      <c r="B13" s="22" t="inlineStr">
        <is>
          <t>نصيب مكونات العلف الخارجية والتعبئة والنقل</t>
        </is>
      </c>
      <c r="C13" s="48">
        <f>('OPEX'!$C$19+'OPEX'!$C$20+'OPEX'!$C$21)/'OPEX'!$C$7</f>
        <v/>
      </c>
      <c r="D13" s="31" t="inlineStr">
        <is>
          <t>ج.م/طن شعير</t>
        </is>
      </c>
      <c r="E13" s="32" t="inlineStr"/>
    </row>
    <row r="14">
      <c r="B14" s="22" t="inlineStr">
        <is>
          <t>نصيب عمولة التسويق</t>
        </is>
      </c>
      <c r="C14" s="48">
        <f>'OPEX'!$C$22/'OPEX'!$C$7</f>
        <v/>
      </c>
      <c r="D14" s="31" t="inlineStr">
        <is>
          <t>ج.م/طن شعير</t>
        </is>
      </c>
      <c r="E14" s="32" t="inlineStr">
        <is>
          <t>بند مُغفَل في الدراسة</t>
        </is>
      </c>
    </row>
    <row r="15">
      <c r="B15" s="34" t="inlineStr">
        <is>
          <t>إجمالي التكلفة المتغيرة لكل طن شعير</t>
        </is>
      </c>
      <c r="C15" s="54">
        <f>SUM(C11:C14)</f>
        <v/>
      </c>
      <c r="D15" s="31" t="inlineStr">
        <is>
          <t>ج.م/طن شعير</t>
        </is>
      </c>
      <c r="E15" s="32" t="inlineStr">
        <is>
          <t>مقابل 19,096 ج في الدراسة</t>
        </is>
      </c>
    </row>
    <row r="16">
      <c r="B16" s="45" t="inlineStr">
        <is>
          <t>هامش المساهمة لكل طن شعير</t>
        </is>
      </c>
      <c r="C16" s="55">
        <f>C10-C15</f>
        <v/>
      </c>
      <c r="D16" s="31" t="inlineStr">
        <is>
          <t>ج.م/طن شعير</t>
        </is>
      </c>
      <c r="E16" s="32" t="inlineStr">
        <is>
          <t>مقابل 4,317 ج في الدراسة ⇒ فرق جوهري</t>
        </is>
      </c>
    </row>
    <row r="17">
      <c r="B17" s="22" t="inlineStr">
        <is>
          <t>نصيب التكاليف الثابتة لكل طن شعير</t>
        </is>
      </c>
      <c r="C17" s="48">
        <f>'الافتراضات'!$C$104/'OPEX'!$C$7</f>
        <v/>
      </c>
      <c r="D17" s="31" t="inlineStr">
        <is>
          <t>ج.م/طن شعير</t>
        </is>
      </c>
      <c r="E17" s="32" t="inlineStr">
        <is>
          <t>الدراسة: 1,894 ج/طن</t>
        </is>
      </c>
    </row>
    <row r="18">
      <c r="B18" s="45" t="inlineStr">
        <is>
          <t>EBITDA لكل طن شعير</t>
        </is>
      </c>
      <c r="C18" s="55">
        <f>C16-C17</f>
        <v/>
      </c>
      <c r="D18" s="31" t="inlineStr">
        <is>
          <t>ج.م/طن شعير</t>
        </is>
      </c>
      <c r="E18" s="32" t="inlineStr">
        <is>
          <t>مقابل 2,424 ج في الدراسة</t>
        </is>
      </c>
    </row>
    <row r="19">
      <c r="B19" s="34" t="inlineStr">
        <is>
          <t>هامش EBITDA لكل طن شعير</t>
        </is>
      </c>
      <c r="C19" s="39">
        <f>C18/C10</f>
        <v/>
      </c>
      <c r="D19" s="31" t="inlineStr">
        <is>
          <t>%</t>
        </is>
      </c>
      <c r="E19" s="32" t="inlineStr"/>
    </row>
    <row r="20">
      <c r="B20" s="22" t="inlineStr">
        <is>
          <t>عدد اكياس 25 كجم من الأرز لكل طن شعير</t>
        </is>
      </c>
      <c r="C20" s="48">
        <f>'OPEX'!$C$8*1000/('OPEX'!$C$7*25)</f>
        <v/>
      </c>
      <c r="D20" s="31" t="inlineStr">
        <is>
          <t>كيس/طن شعير</t>
        </is>
      </c>
      <c r="E20" s="32" t="inlineStr">
        <is>
          <t>استهلاك التغليف</t>
        </is>
      </c>
    </row>
    <row r="22" ht="21" customHeight="1">
      <c r="B22" s="27" t="inlineStr">
        <is>
          <t>ب) تكلفة إنتاج الكيلوجرام من الأرز الأبيض المعبأ 25 كجم</t>
        </is>
      </c>
      <c r="C22" s="28" t="n"/>
      <c r="D22" s="28" t="n"/>
      <c r="E22" s="28" t="n"/>
      <c r="F22" s="28" t="n"/>
    </row>
    <row r="23" ht="18" customHeight="1">
      <c r="B23" s="38" t="inlineStr">
        <is>
          <t>البند</t>
        </is>
      </c>
      <c r="C23" s="38" t="inlineStr">
        <is>
          <t>القيمة</t>
        </is>
      </c>
      <c r="D23" s="38" t="inlineStr">
        <is>
          <t>الوحدة</t>
        </is>
      </c>
      <c r="E23" s="38" t="inlineStr">
        <is>
          <t>المعادلة / الملاحظة</t>
        </is>
      </c>
      <c r="F23" s="38" t="inlineStr"/>
      <c r="G23" s="38" t="inlineStr"/>
    </row>
    <row r="24">
      <c r="B24" s="22" t="inlineStr">
        <is>
          <t>كمية الشعير اللازمة لكل كجم أرز أبيض</t>
        </is>
      </c>
      <c r="C24" s="47">
        <f>1/'الافتراضات'!$C$51</f>
        <v/>
      </c>
      <c r="D24" s="31" t="inlineStr">
        <is>
          <t>كجم</t>
        </is>
      </c>
      <c r="E24" s="32" t="inlineStr">
        <is>
          <t>مقلوب معدل الاسترداد — كل 1% انخفاض = 0.015 كجم إضافي</t>
        </is>
      </c>
    </row>
    <row r="25">
      <c r="B25" s="22" t="inlineStr">
        <is>
          <t>تكلفة الشعير لكل كجم أرز</t>
        </is>
      </c>
      <c r="C25" s="47">
        <f>C24*'الافتراضات'!$C$32*'الافتراضات'!$F$24/1000</f>
        <v/>
      </c>
      <c r="D25" s="31" t="inlineStr">
        <is>
          <t>ج.م/كجم</t>
        </is>
      </c>
      <c r="E25" s="32" t="inlineStr">
        <is>
          <t>المحرك الأول للتكلفة</t>
        </is>
      </c>
    </row>
    <row r="26">
      <c r="B26" s="22" t="inlineStr">
        <is>
          <t>تكلفة التغليف لكل كجم</t>
        </is>
      </c>
      <c r="C26" s="47">
        <f>'الافتراضات'!$C$44/1000</f>
        <v/>
      </c>
      <c r="D26" s="31" t="inlineStr">
        <is>
          <t>ج.م/كجم</t>
        </is>
      </c>
      <c r="E26" s="32" t="inlineStr">
        <is>
          <t>كيس 25 كجم مطبوع</t>
        </is>
      </c>
    </row>
    <row r="27">
      <c r="B27" s="22" t="inlineStr">
        <is>
          <t>عمولة التسويق والتوزيع لكل كجم</t>
        </is>
      </c>
      <c r="C27" s="47">
        <f>'الافتراضات'!$C$33*'الافتراضات'!$F$25*'الافتراضات'!$C$47/1000</f>
        <v/>
      </c>
      <c r="D27" s="31" t="inlineStr">
        <is>
          <t>ج.م/كجم</t>
        </is>
      </c>
      <c r="E27" s="32" t="inlineStr"/>
    </row>
    <row r="28">
      <c r="B28" s="22" t="inlineStr">
        <is>
          <t>نصيب التكاليف الثابتة للمضرب لكل كجم</t>
        </is>
      </c>
      <c r="C28" s="47">
        <f>'الافتراضات'!$C$93/('OPEX'!$C$8*1000)</f>
        <v/>
      </c>
      <c r="D28" s="31" t="inlineStr">
        <is>
          <t>ج.م/كجم</t>
        </is>
      </c>
      <c r="E28" s="32" t="inlineStr">
        <is>
          <t>توزيع ثابت المضرب على إنتاج الأرز</t>
        </is>
      </c>
    </row>
    <row r="29">
      <c r="B29" s="45" t="inlineStr">
        <is>
          <t>إجمالي التكلفة لكل كجم (قبل رصيد النواتج)</t>
        </is>
      </c>
      <c r="C29" s="56">
        <f>SUM(C25:C28)</f>
        <v/>
      </c>
      <c r="D29" s="31" t="inlineStr">
        <is>
          <t>ج.م/كجم</t>
        </is>
      </c>
      <c r="E29" s="32" t="inlineStr">
        <is>
          <t>المقارنة مع سعر البيع أدناه</t>
        </is>
      </c>
    </row>
    <row r="30">
      <c r="B30" s="22" t="inlineStr">
        <is>
          <t>رصيد النواتج الثانوية بسعر السوق لكل كجم أرز</t>
        </is>
      </c>
      <c r="C30" s="47">
        <f>('OPEX'!$C$10*'الافتراضات'!$C$37+'OPEX'!$C$9*'الافتراضات'!$C$36+'OPEX'!$C$11*'الافتراضات'!$C$35)/('OPEX'!$C$8*1000)</f>
        <v/>
      </c>
      <c r="D30" s="31" t="inlineStr">
        <is>
          <t>ج.م/كجم</t>
        </is>
      </c>
      <c r="E30" s="32" t="inlineStr">
        <is>
          <t>⚠ الدراسة قيّمت الكسر بـ 9,000 ج وهو أقل من سعر السوق</t>
        </is>
      </c>
    </row>
    <row r="31">
      <c r="B31" s="45" t="inlineStr">
        <is>
          <t>صافي تكلفة الكيلوجرام بعد رصيد النواتج</t>
        </is>
      </c>
      <c r="C31" s="56">
        <f>C29-C30</f>
        <v/>
      </c>
      <c r="D31" s="31" t="inlineStr">
        <is>
          <t>ج.م/كجم</t>
        </is>
      </c>
      <c r="E31" s="32" t="inlineStr">
        <is>
          <t>التكلفة الاقتصادية الحقيقية</t>
        </is>
      </c>
    </row>
    <row r="32">
      <c r="B32" s="22" t="inlineStr">
        <is>
          <t>سعر البيع لكل كجم</t>
        </is>
      </c>
      <c r="C32" s="47">
        <f>'الافتراضات'!$C$33*'الافتراضات'!$F$25/1000</f>
        <v/>
      </c>
      <c r="D32" s="31" t="inlineStr">
        <is>
          <t>ج.م/كجم</t>
        </is>
      </c>
      <c r="E32" s="32" t="inlineStr">
        <is>
          <t>⚠ سعر غير موثّق</t>
        </is>
      </c>
    </row>
    <row r="33">
      <c r="B33" s="45" t="inlineStr">
        <is>
          <t>هامش الربح لكل كجم قبل الثابت</t>
        </is>
      </c>
      <c r="C33" s="56">
        <f>C32-(C29-C28)</f>
        <v/>
      </c>
      <c r="D33" s="31" t="inlineStr">
        <is>
          <t>ج.م/كجم</t>
        </is>
      </c>
      <c r="E33" s="32" t="inlineStr">
        <is>
          <t>هامش المساهمة الصافي للأرز</t>
        </is>
      </c>
    </row>
    <row r="34">
      <c r="B34" s="34" t="inlineStr">
        <is>
          <t>هامش % على سعر البيع</t>
        </is>
      </c>
      <c r="C34" s="39">
        <f>C33/C32</f>
        <v/>
      </c>
      <c r="D34" s="31" t="inlineStr">
        <is>
          <t>%</t>
        </is>
      </c>
      <c r="E34" s="32" t="inlineStr">
        <is>
          <t>مقارنة بصناعة ضرب الأرز (2–6%)</t>
        </is>
      </c>
    </row>
    <row r="36" ht="21" customHeight="1">
      <c r="B36" s="27" t="inlineStr">
        <is>
          <t>ج) تكلفة إنتاج الطن من العلف الجاهز (تسمين 13% بروتين)</t>
        </is>
      </c>
      <c r="C36" s="28" t="n"/>
      <c r="D36" s="28" t="n"/>
      <c r="E36" s="28" t="n"/>
      <c r="F36" s="28" t="n"/>
    </row>
    <row r="37" ht="18" customHeight="1">
      <c r="B37" s="38" t="inlineStr">
        <is>
          <t>البند</t>
        </is>
      </c>
      <c r="C37" s="38" t="inlineStr">
        <is>
          <t>القيمة</t>
        </is>
      </c>
      <c r="D37" s="38" t="inlineStr">
        <is>
          <t>الوحدة</t>
        </is>
      </c>
      <c r="E37" s="38" t="inlineStr">
        <is>
          <t>المعادلة / الملاحظة</t>
        </is>
      </c>
      <c r="F37" s="38" t="inlineStr"/>
      <c r="G37" s="38" t="inlineStr"/>
    </row>
    <row r="38">
      <c r="B38" s="22" t="inlineStr">
        <is>
          <t>نخالة الأرز (تقييم بسعر السوق البديل)</t>
        </is>
      </c>
      <c r="C38" s="48">
        <f>'الافتراضات'!$C$60*'الافتراضات'!$C$37</f>
        <v/>
      </c>
      <c r="D38" s="31" t="inlineStr">
        <is>
          <t>ج.م/طن علف</t>
        </is>
      </c>
      <c r="E38" s="32" t="inlineStr">
        <is>
          <t>⚠ الدراسة قيّمتها بـ 10,000 ج — أعلى من السوق</t>
        </is>
      </c>
    </row>
    <row r="39">
      <c r="B39" s="22" t="inlineStr">
        <is>
          <t>الكسر والشوائب (تقييم بسعر السوق البديل)</t>
        </is>
      </c>
      <c r="C39" s="48">
        <f>'الافتراضات'!$C$61*'الافتراضات'!$C$36</f>
        <v/>
      </c>
      <c r="D39" s="31" t="inlineStr">
        <is>
          <t>ج.م/طن علف</t>
        </is>
      </c>
      <c r="E39" s="32" t="inlineStr">
        <is>
          <t>⚠ الدراسة قيّمته بـ 9,000 ج — أقل من السوق</t>
        </is>
      </c>
    </row>
    <row r="40">
      <c r="B40" s="22" t="inlineStr">
        <is>
          <t>المكونات الخارجية (ذرة + صويا + إضافات)</t>
        </is>
      </c>
      <c r="C40" s="48">
        <f>'OPEX'!$C$18</f>
        <v/>
      </c>
      <c r="D40" s="31" t="inlineStr">
        <is>
          <t>ج.م/طن علف</t>
        </is>
      </c>
      <c r="E40" s="32" t="inlineStr">
        <is>
          <t>⚠ الدراسة: 8,540 ج — بأسعار ذرة وصويا أقل من السوق</t>
        </is>
      </c>
    </row>
    <row r="41">
      <c r="B41" s="22" t="inlineStr">
        <is>
          <t>تعبئة العلف (أكياس 50 كجم)</t>
        </is>
      </c>
      <c r="C41" s="48">
        <f>'الافتراضات'!$C$45</f>
        <v/>
      </c>
      <c r="D41" s="31" t="inlineStr">
        <is>
          <t>ج.م/طن علف</t>
        </is>
      </c>
      <c r="E41" s="32" t="inlineStr"/>
    </row>
    <row r="42">
      <c r="B42" s="22" t="inlineStr">
        <is>
          <t>نقل العلف للعملاء</t>
        </is>
      </c>
      <c r="C42" s="48">
        <f>'الافتراضات'!$C$46</f>
        <v/>
      </c>
      <c r="D42" s="31" t="inlineStr">
        <is>
          <t>ج.م/طن علف</t>
        </is>
      </c>
      <c r="E42" s="32" t="inlineStr"/>
    </row>
    <row r="43">
      <c r="B43" s="34" t="inlineStr">
        <is>
          <t>إجمالي التكلفة المباشرة للطن</t>
        </is>
      </c>
      <c r="C43" s="54">
        <f>SUM(C38:C42)</f>
        <v/>
      </c>
      <c r="D43" s="31" t="inlineStr">
        <is>
          <t>ج.م/طن علف</t>
        </is>
      </c>
      <c r="E43" s="32" t="inlineStr">
        <is>
          <t>المقارنة: الدراسة 12,420 ج (بسعر نفط مختلف)</t>
        </is>
      </c>
    </row>
    <row r="44">
      <c r="B44" s="22" t="inlineStr">
        <is>
          <t>نصيب التكاليف الثابتة لمصنع العلف</t>
        </is>
      </c>
      <c r="C44" s="48">
        <f>'الافتراضات'!$C$99/'OPEX'!$C$12</f>
        <v/>
      </c>
      <c r="D44" s="31" t="inlineStr">
        <is>
          <t>ج.م/طن علف</t>
        </is>
      </c>
      <c r="E44" s="32" t="inlineStr">
        <is>
          <t>الطن الواحد يتحمّل ثابتاً مرتفعاً لضعف الاستغلال</t>
        </is>
      </c>
    </row>
    <row r="45">
      <c r="B45" s="45" t="inlineStr">
        <is>
          <t>إجمالي التكلفة الكاملة للطن العلف</t>
        </is>
      </c>
      <c r="C45" s="55">
        <f>C43+C44</f>
        <v/>
      </c>
      <c r="D45" s="31" t="inlineStr">
        <is>
          <t>ج.م/طن علف</t>
        </is>
      </c>
      <c r="E45" s="32" t="inlineStr">
        <is>
          <t>التكلفة الاقتصادية الكاملة</t>
        </is>
      </c>
    </row>
    <row r="46">
      <c r="B46" s="22" t="inlineStr">
        <is>
          <t>سعر البيع لكل طن علف</t>
        </is>
      </c>
      <c r="C46" s="48">
        <f>'الافتراضات'!$C$34*'الافتراضات'!$F$26</f>
        <v/>
      </c>
      <c r="D46" s="31" t="inlineStr">
        <is>
          <t>ج.م/طن علف</t>
        </is>
      </c>
      <c r="E46" s="32" t="inlineStr">
        <is>
          <t>⚠ استرشادي — يلزم تأكيد بعقود فعلية</t>
        </is>
      </c>
    </row>
    <row r="47">
      <c r="B47" s="45" t="inlineStr">
        <is>
          <t>الهامش الصافي لكل طن علف</t>
        </is>
      </c>
      <c r="C47" s="55">
        <f>C46-C45</f>
        <v/>
      </c>
      <c r="D47" s="31" t="inlineStr">
        <is>
          <t>ج.م/طن علف</t>
        </is>
      </c>
      <c r="E47" s="32" t="inlineStr">
        <is>
          <t>⚠ هامش مرتفع عن معيار الصناعة (5–12%) — فرضية حرجة</t>
        </is>
      </c>
    </row>
    <row r="48">
      <c r="B48" s="34" t="inlineStr">
        <is>
          <t>هامش % على سعر البيع</t>
        </is>
      </c>
      <c r="C48" s="39">
        <f>C47/C46</f>
        <v/>
      </c>
      <c r="D48" s="31" t="inlineStr">
        <is>
          <t>%</t>
        </is>
      </c>
      <c r="E48" s="32" t="inlineStr">
        <is>
          <t>يجب اختبار الهامش بانخفاض 5 و10 و15%</t>
        </is>
      </c>
    </row>
    <row r="49">
      <c r="B49" s="22" t="inlineStr">
        <is>
          <t>هامش المساهمة لكل طن علف (قبل الثابت)</t>
        </is>
      </c>
      <c r="C49" s="48">
        <f>C46-C43</f>
        <v/>
      </c>
      <c r="D49" s="31" t="inlineStr">
        <is>
          <t>ج.م/طن علف</t>
        </is>
      </c>
      <c r="E49" s="32" t="inlineStr"/>
    </row>
    <row r="51" ht="21" customHeight="1">
      <c r="B51" s="27" t="inlineStr">
        <is>
          <t>د) تكاليف التعبئة والتغليف والنقل والتخزين للطن</t>
        </is>
      </c>
      <c r="C51" s="28" t="n"/>
      <c r="D51" s="28" t="n"/>
      <c r="E51" s="28" t="n"/>
      <c r="F51" s="28" t="n"/>
    </row>
    <row r="52" ht="18" customHeight="1">
      <c r="B52" s="38" t="inlineStr">
        <is>
          <t>البند</t>
        </is>
      </c>
      <c r="C52" s="38" t="inlineStr">
        <is>
          <t>القيمة</t>
        </is>
      </c>
      <c r="D52" s="38" t="inlineStr">
        <is>
          <t>الوحدة</t>
        </is>
      </c>
      <c r="E52" s="38" t="inlineStr">
        <is>
          <t>المعادلة / الملاحظة</t>
        </is>
      </c>
      <c r="F52" s="38" t="inlineStr"/>
      <c r="G52" s="38" t="inlineStr"/>
    </row>
    <row r="53">
      <c r="B53" s="22" t="inlineStr">
        <is>
          <t>تغليف الأرز — للطن الواحد</t>
        </is>
      </c>
      <c r="C53" s="48">
        <f>'الافتراضات'!$C$44</f>
        <v/>
      </c>
      <c r="D53" s="31" t="inlineStr">
        <is>
          <t>ج.م/طن أرز</t>
        </is>
      </c>
      <c r="E53" s="32" t="inlineStr">
        <is>
          <t>≈19 كيس 25 كجم</t>
        </is>
      </c>
    </row>
    <row r="54">
      <c r="B54" s="22" t="inlineStr">
        <is>
          <t>تغليف الأرز — لكل كيلوجرام</t>
        </is>
      </c>
      <c r="C54" s="47">
        <f>'الافتراضات'!$C$44/1000</f>
        <v/>
      </c>
      <c r="D54" s="31" t="inlineStr">
        <is>
          <t>ج.م/كجم</t>
        </is>
      </c>
      <c r="E54" s="32" t="inlineStr"/>
    </row>
    <row r="55">
      <c r="B55" s="22" t="inlineStr">
        <is>
          <t>إجمالي تغليف الأرز شهرياً</t>
        </is>
      </c>
      <c r="C55" s="48">
        <f>'OPEX'!$C$17</f>
        <v/>
      </c>
      <c r="D55" s="31" t="inlineStr">
        <is>
          <t>ج.م/شهر</t>
        </is>
      </c>
      <c r="E55" s="32" t="inlineStr">
        <is>
          <t>⚠ الدراسة: 20,000 ج/شهر — مبالغ فيه</t>
        </is>
      </c>
    </row>
    <row r="56">
      <c r="B56" s="22" t="inlineStr">
        <is>
          <t>تعبئة العلف — للطن</t>
        </is>
      </c>
      <c r="C56" s="48">
        <f>'الافتراضات'!$C$45</f>
        <v/>
      </c>
      <c r="D56" s="31" t="inlineStr">
        <is>
          <t>ج.م/طن</t>
        </is>
      </c>
      <c r="E56" s="32" t="inlineStr">
        <is>
          <t>20 كيس 50 كجم</t>
        </is>
      </c>
    </row>
    <row r="57">
      <c r="B57" s="22" t="inlineStr">
        <is>
          <t>نقل العلف — للطن</t>
        </is>
      </c>
      <c r="C57" s="48">
        <f>'الافتراضات'!$C$46</f>
        <v/>
      </c>
      <c r="D57" s="31" t="inlineStr">
        <is>
          <t>ج.م/طن</t>
        </is>
      </c>
      <c r="E57" s="32" t="inlineStr"/>
    </row>
    <row r="58">
      <c r="B58" s="22" t="inlineStr">
        <is>
          <t>إجمالي نقل وتوزيع العلف شهرياً</t>
        </is>
      </c>
      <c r="C58" s="48">
        <f>'OPEX'!$C$21</f>
        <v/>
      </c>
      <c r="D58" s="31" t="inlineStr">
        <is>
          <t>ج.م/شهر</t>
        </is>
      </c>
      <c r="E58" s="32" t="inlineStr"/>
    </row>
    <row r="59">
      <c r="B59" s="29" t="inlineStr">
        <is>
          <t>نقل وتوزيع الأرز شهرياً</t>
        </is>
      </c>
      <c r="C59" s="33" t="n">
        <v>0</v>
      </c>
      <c r="D59" s="31" t="inlineStr">
        <is>
          <t>ج.م/شهر</t>
        </is>
      </c>
      <c r="E59" s="32" t="inlineStr">
        <is>
          <t>⚠ غير مدرج في الدراسة رغم إيجار سيارة توزيع بـ 15,000 ج ⇒ تكلفة مخفية</t>
        </is>
      </c>
    </row>
    <row r="60">
      <c r="B60" s="22" t="inlineStr">
        <is>
          <t>تكلفة التخزين الموزّعة لكل طن منتج</t>
        </is>
      </c>
      <c r="C60" s="48">
        <f>20000/('OPEX'!$C$7+'OPEX'!$C$8+'OPEX'!$C$12)</f>
        <v/>
      </c>
      <c r="D60" s="31" t="inlineStr">
        <is>
          <t>ج.م/طن</t>
        </is>
      </c>
      <c r="E60" s="32" t="inlineStr">
        <is>
          <t>إيجار المصنع والمخزن 20,000 ج/شهر موزّعاً على 102 طن</t>
        </is>
      </c>
    </row>
    <row r="62" ht="21" customHeight="1">
      <c r="B62" s="27" t="inlineStr">
        <is>
          <t>هـ) الملخص الوحدوي ومقارنته بالدراسة الأصلية</t>
        </is>
      </c>
      <c r="C62" s="28" t="n"/>
      <c r="D62" s="28" t="n"/>
      <c r="E62" s="28" t="n"/>
      <c r="F62" s="28" t="n"/>
    </row>
    <row r="63" ht="18" customHeight="1">
      <c r="B63" s="38" t="inlineStr">
        <is>
          <t>المؤشر</t>
        </is>
      </c>
      <c r="C63" s="38" t="inlineStr">
        <is>
          <t>المراجعة المعدّلة</t>
        </is>
      </c>
      <c r="D63" s="38" t="inlineStr">
        <is>
          <t>الدراسة الأصلية</t>
        </is>
      </c>
      <c r="E63" s="38" t="inlineStr">
        <is>
          <t>الفرق / الملاحظة</t>
        </is>
      </c>
      <c r="F63" s="38" t="inlineStr"/>
      <c r="G63" s="38" t="inlineStr"/>
    </row>
    <row r="64">
      <c r="B64" s="57" t="inlineStr">
        <is>
          <t>نسبة استرداد الأرز الأبيض</t>
        </is>
      </c>
      <c r="C64" s="14">
        <f>'الافتراضات'!$C$51</f>
        <v/>
      </c>
      <c r="D64" s="13" t="n">
        <v>0.673</v>
      </c>
      <c r="E64" s="12" t="inlineStr">
        <is>
          <t>⚠ المحرك الأول — انخفاض 2 نقطة يمحو الربح</t>
        </is>
      </c>
    </row>
    <row r="65">
      <c r="B65" s="57" t="inlineStr">
        <is>
          <t>تكلفة شراء الشعير (ج.م/طن)</t>
        </is>
      </c>
      <c r="C65" s="10">
        <f>'الافتراضات'!$C$32*'الافتراضات'!$F$24</f>
        <v/>
      </c>
      <c r="D65" s="9" t="n">
        <v>15500</v>
      </c>
      <c r="E65" s="12" t="inlineStr">
        <is>
          <t>غير موثّق في الطرفين</t>
        </is>
      </c>
    </row>
    <row r="66">
      <c r="B66" s="57" t="inlineStr">
        <is>
          <t>سعر بيع الأرز (ج.م/طن)</t>
        </is>
      </c>
      <c r="C66" s="10">
        <f>'الافتراضات'!$C$33*'الافتراضات'!$F$25</f>
        <v/>
      </c>
      <c r="D66" s="9" t="n">
        <v>25000</v>
      </c>
      <c r="E66" s="12" t="inlineStr">
        <is>
          <t>غير موثّق</t>
        </is>
      </c>
    </row>
    <row r="67">
      <c r="B67" s="57" t="inlineStr">
        <is>
          <t>سعر بيع العلف (ج.م/طن)</t>
        </is>
      </c>
      <c r="C67" s="10">
        <f>'الافتراضات'!$C$34*'الافتراضات'!$F$26</f>
        <v/>
      </c>
      <c r="D67" s="9" t="n">
        <v>19000</v>
      </c>
      <c r="E67" s="12" t="inlineStr">
        <is>
          <t>غير موثّق</t>
        </is>
      </c>
    </row>
    <row r="68">
      <c r="B68" s="57" t="inlineStr">
        <is>
          <t>EBITDA لكل طن شعير (ج.م)</t>
        </is>
      </c>
      <c r="C68" s="17">
        <f>'تكلفة_الوحدة'!$C$18</f>
        <v/>
      </c>
      <c r="D68" s="16" t="n">
        <v>2424</v>
      </c>
      <c r="E68" s="12" t="inlineStr">
        <is>
          <t>فرق جوهري: −73%</t>
        </is>
      </c>
    </row>
    <row r="69">
      <c r="B69" s="57" t="inlineStr">
        <is>
          <t>صافي تكلفة كجم الأرز بعد رصيد النواتج (ج.م)</t>
        </is>
      </c>
      <c r="C69" s="58">
        <f>'تكلفة_الوحدة'!$C$31</f>
        <v/>
      </c>
      <c r="D69" s="59" t="n">
        <v>26.2</v>
      </c>
      <c r="E69" s="12" t="inlineStr">
        <is>
          <t>شامل الثابت</t>
        </is>
      </c>
    </row>
    <row r="70">
      <c r="B70" s="57" t="inlineStr">
        <is>
          <t>التكلفة الكاملة لطن العلف (ج.م)</t>
        </is>
      </c>
      <c r="C70" s="17">
        <f>'تكلفة_الوحدة'!$C$45</f>
        <v/>
      </c>
      <c r="D70" s="16" t="n">
        <v>12420</v>
      </c>
      <c r="E70" s="12" t="inlineStr">
        <is>
          <t>بعد تصحيح أسعار الذرة والصويا</t>
        </is>
      </c>
    </row>
    <row r="71">
      <c r="B71" s="57" t="inlineStr">
        <is>
          <t>هامش المساهمة/طن علف (ج.م)</t>
        </is>
      </c>
      <c r="C71" s="17">
        <f>'تكلفة_الوحدة'!$C$49</f>
        <v/>
      </c>
      <c r="D71" s="16" t="n">
        <v>5580</v>
      </c>
      <c r="E71" s="12" t="inlineStr">
        <is>
          <t>الهامش مرتفع عن معيار الصناعة</t>
        </is>
      </c>
    </row>
  </sheetData>
  <mergeCells count="60">
    <mergeCell ref="E43:F43"/>
    <mergeCell ref="E12:F12"/>
    <mergeCell ref="E55:F55"/>
    <mergeCell ref="E24:F24"/>
    <mergeCell ref="B62:F62"/>
    <mergeCell ref="E33:F33"/>
    <mergeCell ref="E69:G69"/>
    <mergeCell ref="E65:G65"/>
    <mergeCell ref="E42:F42"/>
    <mergeCell ref="E14:F14"/>
    <mergeCell ref="B22:F22"/>
    <mergeCell ref="E48:F48"/>
    <mergeCell ref="E17:F17"/>
    <mergeCell ref="E39:F39"/>
    <mergeCell ref="E8:F8"/>
    <mergeCell ref="E44:F44"/>
    <mergeCell ref="E20:F20"/>
    <mergeCell ref="E38:F38"/>
    <mergeCell ref="B2:F2"/>
    <mergeCell ref="E10:F10"/>
    <mergeCell ref="E29:F29"/>
    <mergeCell ref="E19:F19"/>
    <mergeCell ref="E28:F28"/>
    <mergeCell ref="E70:G70"/>
    <mergeCell ref="E13:F13"/>
    <mergeCell ref="B1:F1"/>
    <mergeCell ref="E60:F60"/>
    <mergeCell ref="E40:F40"/>
    <mergeCell ref="E9:F9"/>
    <mergeCell ref="E31:F31"/>
    <mergeCell ref="E56:F56"/>
    <mergeCell ref="E34:F34"/>
    <mergeCell ref="E59:F59"/>
    <mergeCell ref="E30:F30"/>
    <mergeCell ref="E66:G66"/>
    <mergeCell ref="E15:F15"/>
    <mergeCell ref="E46:F46"/>
    <mergeCell ref="E58:F58"/>
    <mergeCell ref="E11:F11"/>
    <mergeCell ref="E49:F49"/>
    <mergeCell ref="E27:F27"/>
    <mergeCell ref="E45:F45"/>
    <mergeCell ref="E26:F26"/>
    <mergeCell ref="E68:G68"/>
    <mergeCell ref="E71:G71"/>
    <mergeCell ref="E57:F57"/>
    <mergeCell ref="E16:F16"/>
    <mergeCell ref="E54:F54"/>
    <mergeCell ref="E32:F32"/>
    <mergeCell ref="E7:F7"/>
    <mergeCell ref="E25:F25"/>
    <mergeCell ref="E67:G67"/>
    <mergeCell ref="E41:F41"/>
    <mergeCell ref="B5:F5"/>
    <mergeCell ref="B51:F51"/>
    <mergeCell ref="E53:F53"/>
    <mergeCell ref="B36:F36"/>
    <mergeCell ref="E64:G64"/>
    <mergeCell ref="E18:F18"/>
    <mergeCell ref="E47:F47"/>
  </mergeCells>
  <pageMargins left="0.75" right="0.75" top="1" bottom="1" header="0.5" footer="0.5"/>
</worksheet>
</file>

<file path=xl/worksheets/sheet7.xml><?xml version="1.0" encoding="utf-8"?>
<worksheet xmlns="http://schemas.openxmlformats.org/spreadsheetml/2006/main">
  <sheetPr>
    <tabColor rgb="00FFE699"/>
    <outlinePr summaryBelow="1" summaryRight="1"/>
    <pageSetUpPr/>
  </sheetPr>
  <dimension ref="B1:DT36"/>
  <sheetViews>
    <sheetView showGridLines="0" rightToLeft="1" workbookViewId="0">
      <pane xSplit="3" ySplit="3" topLeftCell="D4" activePane="bottomRight" state="frozen"/>
      <selection pane="topRight"/>
      <selection pane="bottomLeft"/>
      <selection pane="bottomRight" activeCell="A1" sqref="A1"/>
    </sheetView>
  </sheetViews>
  <sheetFormatPr baseColWidth="8" defaultRowHeight="15"/>
  <cols>
    <col width="2.5" customWidth="1" min="1" max="1"/>
    <col width="44" customWidth="1" min="2" max="2"/>
    <col width="8.6" customWidth="1" min="3" max="3"/>
    <col width="8.6"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 width="8.6" customWidth="1" min="13" max="13"/>
    <col width="8.6" customWidth="1" min="14" max="14"/>
    <col width="8.6" customWidth="1" min="15" max="15"/>
    <col width="8.6" customWidth="1" min="16" max="16"/>
    <col width="8.6" customWidth="1" min="17" max="17"/>
    <col width="8.6" customWidth="1" min="18" max="18"/>
    <col width="8.6" customWidth="1" min="19" max="19"/>
    <col width="8.6" customWidth="1" min="20" max="20"/>
    <col width="8.6" customWidth="1" min="21" max="21"/>
    <col width="8.6" customWidth="1" min="22" max="22"/>
    <col width="8.6" customWidth="1" min="23" max="23"/>
    <col width="8.6" customWidth="1" min="24" max="24"/>
    <col width="8.6" customWidth="1" min="25" max="25"/>
    <col width="8.6" customWidth="1" min="26" max="26"/>
    <col width="8.6" customWidth="1" min="27" max="27"/>
    <col width="8.6" customWidth="1" min="28" max="28"/>
    <col width="8.6" customWidth="1" min="29" max="29"/>
    <col width="8.6" customWidth="1" min="30" max="30"/>
    <col width="8.6" customWidth="1" min="31" max="31"/>
    <col width="8.6" customWidth="1" min="32" max="32"/>
    <col width="8.6" customWidth="1" min="33" max="33"/>
    <col width="8.6" customWidth="1" min="34" max="34"/>
    <col width="8.6" customWidth="1" min="35" max="35"/>
    <col width="8.6" customWidth="1" min="36" max="36"/>
    <col width="8.6" customWidth="1" min="37" max="37"/>
    <col width="8.6" customWidth="1" min="38" max="38"/>
    <col width="8.6" customWidth="1" min="39" max="39"/>
    <col width="8.6" customWidth="1" min="40" max="40"/>
    <col width="8.6" customWidth="1" min="41" max="41"/>
    <col width="8.6" customWidth="1" min="42" max="42"/>
    <col width="8.6" customWidth="1" min="43" max="43"/>
    <col width="8.6" customWidth="1" min="44" max="44"/>
    <col width="8.6" customWidth="1" min="45" max="45"/>
    <col width="8.6" customWidth="1" min="46" max="46"/>
    <col width="8.6" customWidth="1" min="47" max="47"/>
    <col width="8.6" customWidth="1" min="48" max="48"/>
    <col width="8.6" customWidth="1" min="49" max="49"/>
    <col width="8.6" customWidth="1" min="50" max="50"/>
    <col width="8.6" customWidth="1" min="51" max="51"/>
    <col width="8.6" customWidth="1" min="52" max="52"/>
    <col width="8.6" customWidth="1" min="53" max="53"/>
    <col width="8.6" customWidth="1" min="54" max="54"/>
    <col width="8.6" customWidth="1" min="55" max="55"/>
    <col width="8.6" customWidth="1" min="56" max="56"/>
    <col width="8.6" customWidth="1" min="57" max="57"/>
    <col width="8.6" customWidth="1" min="58" max="58"/>
    <col width="8.6" customWidth="1" min="59" max="59"/>
    <col width="8.6" customWidth="1" min="60" max="60"/>
    <col width="8.6" customWidth="1" min="61" max="61"/>
    <col width="8.6" customWidth="1" min="62" max="62"/>
    <col width="8.6" customWidth="1" min="63" max="63"/>
    <col width="8.6" customWidth="1" min="64" max="64"/>
    <col width="8.6" customWidth="1" min="65" max="65"/>
    <col width="8.6" customWidth="1" min="66" max="66"/>
    <col width="8.6" customWidth="1" min="67" max="67"/>
    <col width="8.6" customWidth="1" min="68" max="68"/>
    <col width="8.6" customWidth="1" min="69" max="69"/>
    <col width="8.6" customWidth="1" min="70" max="70"/>
    <col width="8.6" customWidth="1" min="71" max="71"/>
    <col width="8.6" customWidth="1" min="72" max="72"/>
    <col width="8.6" customWidth="1" min="73" max="73"/>
    <col width="8.6" customWidth="1" min="74" max="74"/>
    <col width="8.6" customWidth="1" min="75" max="75"/>
    <col width="8.6" customWidth="1" min="76" max="76"/>
    <col width="8.6" customWidth="1" min="77" max="77"/>
    <col width="8.6" customWidth="1" min="78" max="78"/>
    <col width="8.6" customWidth="1" min="79" max="79"/>
    <col width="8.6" customWidth="1" min="80" max="80"/>
    <col width="8.6" customWidth="1" min="81" max="81"/>
    <col width="8.6" customWidth="1" min="82" max="82"/>
    <col width="8.6" customWidth="1" min="83" max="83"/>
    <col width="8.6" customWidth="1" min="84" max="84"/>
    <col width="8.6" customWidth="1" min="85" max="85"/>
    <col width="8.6" customWidth="1" min="86" max="86"/>
    <col width="8.6" customWidth="1" min="87" max="87"/>
    <col width="8.6" customWidth="1" min="88" max="88"/>
    <col width="8.6" customWidth="1" min="89" max="89"/>
    <col width="8.6" customWidth="1" min="90" max="90"/>
    <col width="8.6" customWidth="1" min="91" max="91"/>
    <col width="8.6" customWidth="1" min="92" max="92"/>
    <col width="8.6" customWidth="1" min="93" max="93"/>
    <col width="8.6" customWidth="1" min="94" max="94"/>
    <col width="8.6" customWidth="1" min="95" max="95"/>
    <col width="8.6" customWidth="1" min="96" max="96"/>
    <col width="8.6" customWidth="1" min="97" max="97"/>
    <col width="8.6" customWidth="1" min="98" max="98"/>
    <col width="8.6" customWidth="1" min="99" max="99"/>
    <col width="8.6" customWidth="1" min="100" max="100"/>
    <col width="8.6" customWidth="1" min="101" max="101"/>
    <col width="8.6" customWidth="1" min="102" max="102"/>
    <col width="8.6" customWidth="1" min="103" max="103"/>
    <col width="8.6" customWidth="1" min="104" max="104"/>
    <col width="8.6" customWidth="1" min="105" max="105"/>
    <col width="8.6" customWidth="1" min="106" max="106"/>
    <col width="8.6" customWidth="1" min="107" max="107"/>
    <col width="8.6" customWidth="1" min="108" max="108"/>
    <col width="8.6" customWidth="1" min="109" max="109"/>
    <col width="8.6" customWidth="1" min="110" max="110"/>
    <col width="8.6" customWidth="1" min="111" max="111"/>
    <col width="8.6" customWidth="1" min="112" max="112"/>
    <col width="8.6" customWidth="1" min="113" max="113"/>
    <col width="8.6" customWidth="1" min="114" max="114"/>
    <col width="8.6" customWidth="1" min="115" max="115"/>
    <col width="8.6" customWidth="1" min="116" max="116"/>
    <col width="8.6" customWidth="1" min="117" max="117"/>
    <col width="8.6" customWidth="1" min="118" max="118"/>
    <col width="8.6" customWidth="1" min="119" max="119"/>
    <col width="8.6" customWidth="1" min="120" max="120"/>
    <col width="8.6" customWidth="1" min="121" max="121"/>
    <col width="8.6" customWidth="1" min="122" max="122"/>
    <col width="8.6" customWidth="1" min="123" max="123"/>
  </cols>
  <sheetData>
    <row r="1" ht="28" customHeight="1">
      <c r="B1" s="25" t="inlineStr">
        <is>
          <t>التدفق النقدي الشهري — 120 شهراً (10 سنوات)</t>
        </is>
      </c>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c r="AX1" s="2" t="n"/>
      <c r="AY1" s="2" t="n"/>
      <c r="AZ1" s="2" t="n"/>
      <c r="BA1" s="2" t="n"/>
      <c r="BB1" s="2" t="n"/>
      <c r="BC1" s="2" t="n"/>
      <c r="BD1" s="2" t="n"/>
      <c r="BE1" s="2" t="n"/>
      <c r="BF1" s="2" t="n"/>
      <c r="BG1" s="2" t="n"/>
      <c r="BH1" s="2" t="n"/>
      <c r="BI1" s="2" t="n"/>
      <c r="BJ1" s="2" t="n"/>
      <c r="BK1" s="2" t="n"/>
      <c r="BL1" s="2" t="n"/>
      <c r="BM1" s="2" t="n"/>
      <c r="BN1" s="2" t="n"/>
      <c r="BO1" s="2" t="n"/>
      <c r="BP1" s="2" t="n"/>
      <c r="BQ1" s="2" t="n"/>
      <c r="BR1" s="2" t="n"/>
      <c r="BS1" s="2" t="n"/>
      <c r="BT1" s="2" t="n"/>
      <c r="BU1" s="2" t="n"/>
      <c r="BV1" s="2" t="n"/>
      <c r="BW1" s="2" t="n"/>
      <c r="BX1" s="2" t="n"/>
      <c r="BY1" s="2" t="n"/>
      <c r="BZ1" s="2" t="n"/>
      <c r="CA1" s="2" t="n"/>
      <c r="CB1" s="2" t="n"/>
      <c r="CC1" s="2" t="n"/>
      <c r="CD1" s="2" t="n"/>
      <c r="CE1" s="2" t="n"/>
      <c r="CF1" s="2" t="n"/>
      <c r="CG1" s="2" t="n"/>
      <c r="CH1" s="2" t="n"/>
      <c r="CI1" s="2" t="n"/>
      <c r="CJ1" s="2" t="n"/>
      <c r="CK1" s="2" t="n"/>
      <c r="CL1" s="2" t="n"/>
      <c r="CM1" s="2" t="n"/>
      <c r="CN1" s="2" t="n"/>
      <c r="CO1" s="2" t="n"/>
      <c r="CP1" s="2" t="n"/>
      <c r="CQ1" s="2" t="n"/>
      <c r="CR1" s="2" t="n"/>
      <c r="CS1" s="2" t="n"/>
      <c r="CT1" s="2" t="n"/>
      <c r="CU1" s="2" t="n"/>
      <c r="CV1" s="2" t="n"/>
      <c r="CW1" s="2" t="n"/>
      <c r="CX1" s="2" t="n"/>
      <c r="CY1" s="2" t="n"/>
      <c r="CZ1" s="2" t="n"/>
      <c r="DA1" s="2" t="n"/>
      <c r="DB1" s="2" t="n"/>
      <c r="DC1" s="2" t="n"/>
      <c r="DD1" s="2" t="n"/>
      <c r="DE1" s="2" t="n"/>
      <c r="DF1" s="2" t="n"/>
      <c r="DG1" s="2" t="n"/>
      <c r="DH1" s="2" t="n"/>
      <c r="DI1" s="2" t="n"/>
      <c r="DJ1" s="2" t="n"/>
      <c r="DK1" s="2" t="n"/>
      <c r="DL1" s="2" t="n"/>
      <c r="DM1" s="2" t="n"/>
      <c r="DN1" s="2" t="n"/>
      <c r="DO1" s="2" t="n"/>
      <c r="DP1" s="2" t="n"/>
      <c r="DQ1" s="2" t="n"/>
      <c r="DR1" s="2" t="n"/>
      <c r="DS1" s="2" t="n"/>
      <c r="DT1" s="2" t="n"/>
    </row>
    <row r="2">
      <c r="B2" s="60" t="inlineStr">
        <is>
          <t>الشهر 0 = الاستثمار التأسيسي (CAPEX + مصروفات ما قبل التشغيل). رأس المال العامل يُستثمر خلال أشهر السنة الأولى.</t>
        </is>
      </c>
    </row>
    <row r="3">
      <c r="B3" s="38" t="inlineStr">
        <is>
          <t>الشهر</t>
        </is>
      </c>
      <c r="C3" s="38" t="n">
        <v>0</v>
      </c>
      <c r="D3" s="61" t="n">
        <v>1</v>
      </c>
      <c r="E3" s="61" t="n">
        <v>2</v>
      </c>
      <c r="F3" s="61" t="n">
        <v>3</v>
      </c>
      <c r="G3" s="61" t="n">
        <v>4</v>
      </c>
      <c r="H3" s="61" t="n">
        <v>5</v>
      </c>
      <c r="I3" s="61" t="n">
        <v>6</v>
      </c>
      <c r="J3" s="61" t="n">
        <v>7</v>
      </c>
      <c r="K3" s="61" t="n">
        <v>8</v>
      </c>
      <c r="L3" s="61" t="n">
        <v>9</v>
      </c>
      <c r="M3" s="61" t="n">
        <v>10</v>
      </c>
      <c r="N3" s="61" t="n">
        <v>11</v>
      </c>
      <c r="O3" s="61" t="n">
        <v>12</v>
      </c>
      <c r="P3" s="61" t="n">
        <v>13</v>
      </c>
      <c r="Q3" s="61" t="n">
        <v>14</v>
      </c>
      <c r="R3" s="61" t="n">
        <v>15</v>
      </c>
      <c r="S3" s="61" t="n">
        <v>16</v>
      </c>
      <c r="T3" s="61" t="n">
        <v>17</v>
      </c>
      <c r="U3" s="61" t="n">
        <v>18</v>
      </c>
      <c r="V3" s="61" t="n">
        <v>19</v>
      </c>
      <c r="W3" s="61" t="n">
        <v>20</v>
      </c>
      <c r="X3" s="61" t="n">
        <v>21</v>
      </c>
      <c r="Y3" s="61" t="n">
        <v>22</v>
      </c>
      <c r="Z3" s="61" t="n">
        <v>23</v>
      </c>
      <c r="AA3" s="61" t="n">
        <v>24</v>
      </c>
      <c r="AB3" s="61" t="n">
        <v>25</v>
      </c>
      <c r="AC3" s="61" t="n">
        <v>26</v>
      </c>
      <c r="AD3" s="61" t="n">
        <v>27</v>
      </c>
      <c r="AE3" s="61" t="n">
        <v>28</v>
      </c>
      <c r="AF3" s="61" t="n">
        <v>29</v>
      </c>
      <c r="AG3" s="61" t="n">
        <v>30</v>
      </c>
      <c r="AH3" s="61" t="n">
        <v>31</v>
      </c>
      <c r="AI3" s="61" t="n">
        <v>32</v>
      </c>
      <c r="AJ3" s="61" t="n">
        <v>33</v>
      </c>
      <c r="AK3" s="61" t="n">
        <v>34</v>
      </c>
      <c r="AL3" s="61" t="n">
        <v>35</v>
      </c>
      <c r="AM3" s="61" t="n">
        <v>36</v>
      </c>
      <c r="AN3" s="61" t="n">
        <v>37</v>
      </c>
      <c r="AO3" s="61" t="n">
        <v>38</v>
      </c>
      <c r="AP3" s="61" t="n">
        <v>39</v>
      </c>
      <c r="AQ3" s="61" t="n">
        <v>40</v>
      </c>
      <c r="AR3" s="61" t="n">
        <v>41</v>
      </c>
      <c r="AS3" s="61" t="n">
        <v>42</v>
      </c>
      <c r="AT3" s="61" t="n">
        <v>43</v>
      </c>
      <c r="AU3" s="61" t="n">
        <v>44</v>
      </c>
      <c r="AV3" s="61" t="n">
        <v>45</v>
      </c>
      <c r="AW3" s="61" t="n">
        <v>46</v>
      </c>
      <c r="AX3" s="61" t="n">
        <v>47</v>
      </c>
      <c r="AY3" s="61" t="n">
        <v>48</v>
      </c>
      <c r="AZ3" s="61" t="n">
        <v>49</v>
      </c>
      <c r="BA3" s="61" t="n">
        <v>50</v>
      </c>
      <c r="BB3" s="61" t="n">
        <v>51</v>
      </c>
      <c r="BC3" s="61" t="n">
        <v>52</v>
      </c>
      <c r="BD3" s="61" t="n">
        <v>53</v>
      </c>
      <c r="BE3" s="61" t="n">
        <v>54</v>
      </c>
      <c r="BF3" s="61" t="n">
        <v>55</v>
      </c>
      <c r="BG3" s="61" t="n">
        <v>56</v>
      </c>
      <c r="BH3" s="61" t="n">
        <v>57</v>
      </c>
      <c r="BI3" s="61" t="n">
        <v>58</v>
      </c>
      <c r="BJ3" s="61" t="n">
        <v>59</v>
      </c>
      <c r="BK3" s="61" t="n">
        <v>60</v>
      </c>
      <c r="BL3" s="61" t="n">
        <v>61</v>
      </c>
      <c r="BM3" s="61" t="n">
        <v>62</v>
      </c>
      <c r="BN3" s="61" t="n">
        <v>63</v>
      </c>
      <c r="BO3" s="61" t="n">
        <v>64</v>
      </c>
      <c r="BP3" s="61" t="n">
        <v>65</v>
      </c>
      <c r="BQ3" s="61" t="n">
        <v>66</v>
      </c>
      <c r="BR3" s="61" t="n">
        <v>67</v>
      </c>
      <c r="BS3" s="61" t="n">
        <v>68</v>
      </c>
      <c r="BT3" s="61" t="n">
        <v>69</v>
      </c>
      <c r="BU3" s="61" t="n">
        <v>70</v>
      </c>
      <c r="BV3" s="61" t="n">
        <v>71</v>
      </c>
      <c r="BW3" s="61" t="n">
        <v>72</v>
      </c>
      <c r="BX3" s="61" t="n">
        <v>73</v>
      </c>
      <c r="BY3" s="61" t="n">
        <v>74</v>
      </c>
      <c r="BZ3" s="61" t="n">
        <v>75</v>
      </c>
      <c r="CA3" s="61" t="n">
        <v>76</v>
      </c>
      <c r="CB3" s="61" t="n">
        <v>77</v>
      </c>
      <c r="CC3" s="61" t="n">
        <v>78</v>
      </c>
      <c r="CD3" s="61" t="n">
        <v>79</v>
      </c>
      <c r="CE3" s="61" t="n">
        <v>80</v>
      </c>
      <c r="CF3" s="61" t="n">
        <v>81</v>
      </c>
      <c r="CG3" s="61" t="n">
        <v>82</v>
      </c>
      <c r="CH3" s="61" t="n">
        <v>83</v>
      </c>
      <c r="CI3" s="61" t="n">
        <v>84</v>
      </c>
      <c r="CJ3" s="61" t="n">
        <v>85</v>
      </c>
      <c r="CK3" s="61" t="n">
        <v>86</v>
      </c>
      <c r="CL3" s="61" t="n">
        <v>87</v>
      </c>
      <c r="CM3" s="61" t="n">
        <v>88</v>
      </c>
      <c r="CN3" s="61" t="n">
        <v>89</v>
      </c>
      <c r="CO3" s="61" t="n">
        <v>90</v>
      </c>
      <c r="CP3" s="61" t="n">
        <v>91</v>
      </c>
      <c r="CQ3" s="61" t="n">
        <v>92</v>
      </c>
      <c r="CR3" s="61" t="n">
        <v>93</v>
      </c>
      <c r="CS3" s="61" t="n">
        <v>94</v>
      </c>
      <c r="CT3" s="61" t="n">
        <v>95</v>
      </c>
      <c r="CU3" s="61" t="n">
        <v>96</v>
      </c>
      <c r="CV3" s="61" t="n">
        <v>97</v>
      </c>
      <c r="CW3" s="61" t="n">
        <v>98</v>
      </c>
      <c r="CX3" s="61" t="n">
        <v>99</v>
      </c>
      <c r="CY3" s="61" t="n">
        <v>100</v>
      </c>
      <c r="CZ3" s="61" t="n">
        <v>101</v>
      </c>
      <c r="DA3" s="61" t="n">
        <v>102</v>
      </c>
      <c r="DB3" s="61" t="n">
        <v>103</v>
      </c>
      <c r="DC3" s="61" t="n">
        <v>104</v>
      </c>
      <c r="DD3" s="61" t="n">
        <v>105</v>
      </c>
      <c r="DE3" s="61" t="n">
        <v>106</v>
      </c>
      <c r="DF3" s="61" t="n">
        <v>107</v>
      </c>
      <c r="DG3" s="61" t="n">
        <v>108</v>
      </c>
      <c r="DH3" s="61" t="n">
        <v>109</v>
      </c>
      <c r="DI3" s="61" t="n">
        <v>110</v>
      </c>
      <c r="DJ3" s="61" t="n">
        <v>111</v>
      </c>
      <c r="DK3" s="61" t="n">
        <v>112</v>
      </c>
      <c r="DL3" s="61" t="n">
        <v>113</v>
      </c>
      <c r="DM3" s="61" t="n">
        <v>114</v>
      </c>
      <c r="DN3" s="61" t="n">
        <v>115</v>
      </c>
      <c r="DO3" s="61" t="n">
        <v>116</v>
      </c>
      <c r="DP3" s="61" t="n">
        <v>117</v>
      </c>
      <c r="DQ3" s="61" t="n">
        <v>118</v>
      </c>
      <c r="DR3" s="61" t="n">
        <v>119</v>
      </c>
      <c r="DS3" s="61" t="n">
        <v>120</v>
      </c>
    </row>
    <row r="4">
      <c r="B4" s="22" t="inlineStr">
        <is>
          <t>السنة</t>
        </is>
      </c>
      <c r="C4" s="62">
        <f>IF(C$3=0,0,ROUNDUP(C$3/12,0))</f>
        <v/>
      </c>
      <c r="D4" s="62">
        <f>IF(D$3=0,0,ROUNDUP(D$3/12,0))</f>
        <v/>
      </c>
      <c r="E4" s="62">
        <f>IF(E$3=0,0,ROUNDUP(E$3/12,0))</f>
        <v/>
      </c>
      <c r="F4" s="62">
        <f>IF(F$3=0,0,ROUNDUP(F$3/12,0))</f>
        <v/>
      </c>
      <c r="G4" s="62">
        <f>IF(G$3=0,0,ROUNDUP(G$3/12,0))</f>
        <v/>
      </c>
      <c r="H4" s="62">
        <f>IF(H$3=0,0,ROUNDUP(H$3/12,0))</f>
        <v/>
      </c>
      <c r="I4" s="62">
        <f>IF(I$3=0,0,ROUNDUP(I$3/12,0))</f>
        <v/>
      </c>
      <c r="J4" s="62">
        <f>IF(J$3=0,0,ROUNDUP(J$3/12,0))</f>
        <v/>
      </c>
      <c r="K4" s="62">
        <f>IF(K$3=0,0,ROUNDUP(K$3/12,0))</f>
        <v/>
      </c>
      <c r="L4" s="62">
        <f>IF(L$3=0,0,ROUNDUP(L$3/12,0))</f>
        <v/>
      </c>
      <c r="M4" s="62">
        <f>IF(M$3=0,0,ROUNDUP(M$3/12,0))</f>
        <v/>
      </c>
      <c r="N4" s="62">
        <f>IF(N$3=0,0,ROUNDUP(N$3/12,0))</f>
        <v/>
      </c>
      <c r="O4" s="62">
        <f>IF(O$3=0,0,ROUNDUP(O$3/12,0))</f>
        <v/>
      </c>
      <c r="P4" s="62">
        <f>IF(P$3=0,0,ROUNDUP(P$3/12,0))</f>
        <v/>
      </c>
      <c r="Q4" s="62">
        <f>IF(Q$3=0,0,ROUNDUP(Q$3/12,0))</f>
        <v/>
      </c>
      <c r="R4" s="62">
        <f>IF(R$3=0,0,ROUNDUP(R$3/12,0))</f>
        <v/>
      </c>
      <c r="S4" s="62">
        <f>IF(S$3=0,0,ROUNDUP(S$3/12,0))</f>
        <v/>
      </c>
      <c r="T4" s="62">
        <f>IF(T$3=0,0,ROUNDUP(T$3/12,0))</f>
        <v/>
      </c>
      <c r="U4" s="62">
        <f>IF(U$3=0,0,ROUNDUP(U$3/12,0))</f>
        <v/>
      </c>
      <c r="V4" s="62">
        <f>IF(V$3=0,0,ROUNDUP(V$3/12,0))</f>
        <v/>
      </c>
      <c r="W4" s="62">
        <f>IF(W$3=0,0,ROUNDUP(W$3/12,0))</f>
        <v/>
      </c>
      <c r="X4" s="62">
        <f>IF(X$3=0,0,ROUNDUP(X$3/12,0))</f>
        <v/>
      </c>
      <c r="Y4" s="62">
        <f>IF(Y$3=0,0,ROUNDUP(Y$3/12,0))</f>
        <v/>
      </c>
      <c r="Z4" s="62">
        <f>IF(Z$3=0,0,ROUNDUP(Z$3/12,0))</f>
        <v/>
      </c>
      <c r="AA4" s="62">
        <f>IF(AA$3=0,0,ROUNDUP(AA$3/12,0))</f>
        <v/>
      </c>
      <c r="AB4" s="62">
        <f>IF(AB$3=0,0,ROUNDUP(AB$3/12,0))</f>
        <v/>
      </c>
      <c r="AC4" s="62">
        <f>IF(AC$3=0,0,ROUNDUP(AC$3/12,0))</f>
        <v/>
      </c>
      <c r="AD4" s="62">
        <f>IF(AD$3=0,0,ROUNDUP(AD$3/12,0))</f>
        <v/>
      </c>
      <c r="AE4" s="62">
        <f>IF(AE$3=0,0,ROUNDUP(AE$3/12,0))</f>
        <v/>
      </c>
      <c r="AF4" s="62">
        <f>IF(AF$3=0,0,ROUNDUP(AF$3/12,0))</f>
        <v/>
      </c>
      <c r="AG4" s="62">
        <f>IF(AG$3=0,0,ROUNDUP(AG$3/12,0))</f>
        <v/>
      </c>
      <c r="AH4" s="62">
        <f>IF(AH$3=0,0,ROUNDUP(AH$3/12,0))</f>
        <v/>
      </c>
      <c r="AI4" s="62">
        <f>IF(AI$3=0,0,ROUNDUP(AI$3/12,0))</f>
        <v/>
      </c>
      <c r="AJ4" s="62">
        <f>IF(AJ$3=0,0,ROUNDUP(AJ$3/12,0))</f>
        <v/>
      </c>
      <c r="AK4" s="62">
        <f>IF(AK$3=0,0,ROUNDUP(AK$3/12,0))</f>
        <v/>
      </c>
      <c r="AL4" s="62">
        <f>IF(AL$3=0,0,ROUNDUP(AL$3/12,0))</f>
        <v/>
      </c>
      <c r="AM4" s="62">
        <f>IF(AM$3=0,0,ROUNDUP(AM$3/12,0))</f>
        <v/>
      </c>
      <c r="AN4" s="62">
        <f>IF(AN$3=0,0,ROUNDUP(AN$3/12,0))</f>
        <v/>
      </c>
      <c r="AO4" s="62">
        <f>IF(AO$3=0,0,ROUNDUP(AO$3/12,0))</f>
        <v/>
      </c>
      <c r="AP4" s="62">
        <f>IF(AP$3=0,0,ROUNDUP(AP$3/12,0))</f>
        <v/>
      </c>
      <c r="AQ4" s="62">
        <f>IF(AQ$3=0,0,ROUNDUP(AQ$3/12,0))</f>
        <v/>
      </c>
      <c r="AR4" s="62">
        <f>IF(AR$3=0,0,ROUNDUP(AR$3/12,0))</f>
        <v/>
      </c>
      <c r="AS4" s="62">
        <f>IF(AS$3=0,0,ROUNDUP(AS$3/12,0))</f>
        <v/>
      </c>
      <c r="AT4" s="62">
        <f>IF(AT$3=0,0,ROUNDUP(AT$3/12,0))</f>
        <v/>
      </c>
      <c r="AU4" s="62">
        <f>IF(AU$3=0,0,ROUNDUP(AU$3/12,0))</f>
        <v/>
      </c>
      <c r="AV4" s="62">
        <f>IF(AV$3=0,0,ROUNDUP(AV$3/12,0))</f>
        <v/>
      </c>
      <c r="AW4" s="62">
        <f>IF(AW$3=0,0,ROUNDUP(AW$3/12,0))</f>
        <v/>
      </c>
      <c r="AX4" s="62">
        <f>IF(AX$3=0,0,ROUNDUP(AX$3/12,0))</f>
        <v/>
      </c>
      <c r="AY4" s="62">
        <f>IF(AY$3=0,0,ROUNDUP(AY$3/12,0))</f>
        <v/>
      </c>
      <c r="AZ4" s="62">
        <f>IF(AZ$3=0,0,ROUNDUP(AZ$3/12,0))</f>
        <v/>
      </c>
      <c r="BA4" s="62">
        <f>IF(BA$3=0,0,ROUNDUP(BA$3/12,0))</f>
        <v/>
      </c>
      <c r="BB4" s="62">
        <f>IF(BB$3=0,0,ROUNDUP(BB$3/12,0))</f>
        <v/>
      </c>
      <c r="BC4" s="62">
        <f>IF(BC$3=0,0,ROUNDUP(BC$3/12,0))</f>
        <v/>
      </c>
      <c r="BD4" s="62">
        <f>IF(BD$3=0,0,ROUNDUP(BD$3/12,0))</f>
        <v/>
      </c>
      <c r="BE4" s="62">
        <f>IF(BE$3=0,0,ROUNDUP(BE$3/12,0))</f>
        <v/>
      </c>
      <c r="BF4" s="62">
        <f>IF(BF$3=0,0,ROUNDUP(BF$3/12,0))</f>
        <v/>
      </c>
      <c r="BG4" s="62">
        <f>IF(BG$3=0,0,ROUNDUP(BG$3/12,0))</f>
        <v/>
      </c>
      <c r="BH4" s="62">
        <f>IF(BH$3=0,0,ROUNDUP(BH$3/12,0))</f>
        <v/>
      </c>
      <c r="BI4" s="62">
        <f>IF(BI$3=0,0,ROUNDUP(BI$3/12,0))</f>
        <v/>
      </c>
      <c r="BJ4" s="62">
        <f>IF(BJ$3=0,0,ROUNDUP(BJ$3/12,0))</f>
        <v/>
      </c>
      <c r="BK4" s="62">
        <f>IF(BK$3=0,0,ROUNDUP(BK$3/12,0))</f>
        <v/>
      </c>
      <c r="BL4" s="62">
        <f>IF(BL$3=0,0,ROUNDUP(BL$3/12,0))</f>
        <v/>
      </c>
      <c r="BM4" s="62">
        <f>IF(BM$3=0,0,ROUNDUP(BM$3/12,0))</f>
        <v/>
      </c>
      <c r="BN4" s="62">
        <f>IF(BN$3=0,0,ROUNDUP(BN$3/12,0))</f>
        <v/>
      </c>
      <c r="BO4" s="62">
        <f>IF(BO$3=0,0,ROUNDUP(BO$3/12,0))</f>
        <v/>
      </c>
      <c r="BP4" s="62">
        <f>IF(BP$3=0,0,ROUNDUP(BP$3/12,0))</f>
        <v/>
      </c>
      <c r="BQ4" s="62">
        <f>IF(BQ$3=0,0,ROUNDUP(BQ$3/12,0))</f>
        <v/>
      </c>
      <c r="BR4" s="62">
        <f>IF(BR$3=0,0,ROUNDUP(BR$3/12,0))</f>
        <v/>
      </c>
      <c r="BS4" s="62">
        <f>IF(BS$3=0,0,ROUNDUP(BS$3/12,0))</f>
        <v/>
      </c>
      <c r="BT4" s="62">
        <f>IF(BT$3=0,0,ROUNDUP(BT$3/12,0))</f>
        <v/>
      </c>
      <c r="BU4" s="62">
        <f>IF(BU$3=0,0,ROUNDUP(BU$3/12,0))</f>
        <v/>
      </c>
      <c r="BV4" s="62">
        <f>IF(BV$3=0,0,ROUNDUP(BV$3/12,0))</f>
        <v/>
      </c>
      <c r="BW4" s="62">
        <f>IF(BW$3=0,0,ROUNDUP(BW$3/12,0))</f>
        <v/>
      </c>
      <c r="BX4" s="62">
        <f>IF(BX$3=0,0,ROUNDUP(BX$3/12,0))</f>
        <v/>
      </c>
      <c r="BY4" s="62">
        <f>IF(BY$3=0,0,ROUNDUP(BY$3/12,0))</f>
        <v/>
      </c>
      <c r="BZ4" s="62">
        <f>IF(BZ$3=0,0,ROUNDUP(BZ$3/12,0))</f>
        <v/>
      </c>
      <c r="CA4" s="62">
        <f>IF(CA$3=0,0,ROUNDUP(CA$3/12,0))</f>
        <v/>
      </c>
      <c r="CB4" s="62">
        <f>IF(CB$3=0,0,ROUNDUP(CB$3/12,0))</f>
        <v/>
      </c>
      <c r="CC4" s="62">
        <f>IF(CC$3=0,0,ROUNDUP(CC$3/12,0))</f>
        <v/>
      </c>
      <c r="CD4" s="62">
        <f>IF(CD$3=0,0,ROUNDUP(CD$3/12,0))</f>
        <v/>
      </c>
      <c r="CE4" s="62">
        <f>IF(CE$3=0,0,ROUNDUP(CE$3/12,0))</f>
        <v/>
      </c>
      <c r="CF4" s="62">
        <f>IF(CF$3=0,0,ROUNDUP(CF$3/12,0))</f>
        <v/>
      </c>
      <c r="CG4" s="62">
        <f>IF(CG$3=0,0,ROUNDUP(CG$3/12,0))</f>
        <v/>
      </c>
      <c r="CH4" s="62">
        <f>IF(CH$3=0,0,ROUNDUP(CH$3/12,0))</f>
        <v/>
      </c>
      <c r="CI4" s="62">
        <f>IF(CI$3=0,0,ROUNDUP(CI$3/12,0))</f>
        <v/>
      </c>
      <c r="CJ4" s="62">
        <f>IF(CJ$3=0,0,ROUNDUP(CJ$3/12,0))</f>
        <v/>
      </c>
      <c r="CK4" s="62">
        <f>IF(CK$3=0,0,ROUNDUP(CK$3/12,0))</f>
        <v/>
      </c>
      <c r="CL4" s="62">
        <f>IF(CL$3=0,0,ROUNDUP(CL$3/12,0))</f>
        <v/>
      </c>
      <c r="CM4" s="62">
        <f>IF(CM$3=0,0,ROUNDUP(CM$3/12,0))</f>
        <v/>
      </c>
      <c r="CN4" s="62">
        <f>IF(CN$3=0,0,ROUNDUP(CN$3/12,0))</f>
        <v/>
      </c>
      <c r="CO4" s="62">
        <f>IF(CO$3=0,0,ROUNDUP(CO$3/12,0))</f>
        <v/>
      </c>
      <c r="CP4" s="62">
        <f>IF(CP$3=0,0,ROUNDUP(CP$3/12,0))</f>
        <v/>
      </c>
      <c r="CQ4" s="62">
        <f>IF(CQ$3=0,0,ROUNDUP(CQ$3/12,0))</f>
        <v/>
      </c>
      <c r="CR4" s="62">
        <f>IF(CR$3=0,0,ROUNDUP(CR$3/12,0))</f>
        <v/>
      </c>
      <c r="CS4" s="62">
        <f>IF(CS$3=0,0,ROUNDUP(CS$3/12,0))</f>
        <v/>
      </c>
      <c r="CT4" s="62">
        <f>IF(CT$3=0,0,ROUNDUP(CT$3/12,0))</f>
        <v/>
      </c>
      <c r="CU4" s="62">
        <f>IF(CU$3=0,0,ROUNDUP(CU$3/12,0))</f>
        <v/>
      </c>
      <c r="CV4" s="62">
        <f>IF(CV$3=0,0,ROUNDUP(CV$3/12,0))</f>
        <v/>
      </c>
      <c r="CW4" s="62">
        <f>IF(CW$3=0,0,ROUNDUP(CW$3/12,0))</f>
        <v/>
      </c>
      <c r="CX4" s="62">
        <f>IF(CX$3=0,0,ROUNDUP(CX$3/12,0))</f>
        <v/>
      </c>
      <c r="CY4" s="62">
        <f>IF(CY$3=0,0,ROUNDUP(CY$3/12,0))</f>
        <v/>
      </c>
      <c r="CZ4" s="62">
        <f>IF(CZ$3=0,0,ROUNDUP(CZ$3/12,0))</f>
        <v/>
      </c>
      <c r="DA4" s="62">
        <f>IF(DA$3=0,0,ROUNDUP(DA$3/12,0))</f>
        <v/>
      </c>
      <c r="DB4" s="62">
        <f>IF(DB$3=0,0,ROUNDUP(DB$3/12,0))</f>
        <v/>
      </c>
      <c r="DC4" s="62">
        <f>IF(DC$3=0,0,ROUNDUP(DC$3/12,0))</f>
        <v/>
      </c>
      <c r="DD4" s="62">
        <f>IF(DD$3=0,0,ROUNDUP(DD$3/12,0))</f>
        <v/>
      </c>
      <c r="DE4" s="62">
        <f>IF(DE$3=0,0,ROUNDUP(DE$3/12,0))</f>
        <v/>
      </c>
      <c r="DF4" s="62">
        <f>IF(DF$3=0,0,ROUNDUP(DF$3/12,0))</f>
        <v/>
      </c>
      <c r="DG4" s="62">
        <f>IF(DG$3=0,0,ROUNDUP(DG$3/12,0))</f>
        <v/>
      </c>
      <c r="DH4" s="62">
        <f>IF(DH$3=0,0,ROUNDUP(DH$3/12,0))</f>
        <v/>
      </c>
      <c r="DI4" s="62">
        <f>IF(DI$3=0,0,ROUNDUP(DI$3/12,0))</f>
        <v/>
      </c>
      <c r="DJ4" s="62">
        <f>IF(DJ$3=0,0,ROUNDUP(DJ$3/12,0))</f>
        <v/>
      </c>
      <c r="DK4" s="62">
        <f>IF(DK$3=0,0,ROUNDUP(DK$3/12,0))</f>
        <v/>
      </c>
      <c r="DL4" s="62">
        <f>IF(DL$3=0,0,ROUNDUP(DL$3/12,0))</f>
        <v/>
      </c>
      <c r="DM4" s="62">
        <f>IF(DM$3=0,0,ROUNDUP(DM$3/12,0))</f>
        <v/>
      </c>
      <c r="DN4" s="62">
        <f>IF(DN$3=0,0,ROUNDUP(DN$3/12,0))</f>
        <v/>
      </c>
      <c r="DO4" s="62">
        <f>IF(DO$3=0,0,ROUNDUP(DO$3/12,0))</f>
        <v/>
      </c>
      <c r="DP4" s="62">
        <f>IF(DP$3=0,0,ROUNDUP(DP$3/12,0))</f>
        <v/>
      </c>
      <c r="DQ4" s="62">
        <f>IF(DQ$3=0,0,ROUNDUP(DQ$3/12,0))</f>
        <v/>
      </c>
      <c r="DR4" s="62">
        <f>IF(DR$3=0,0,ROUNDUP(DR$3/12,0))</f>
        <v/>
      </c>
      <c r="DS4" s="62">
        <f>IF(DS$3=0,0,ROUNDUP(DS$3/12,0))</f>
        <v/>
      </c>
    </row>
    <row r="5">
      <c r="B5" s="22" t="inlineStr">
        <is>
          <t>معامل تصعيد أسعار البيع</t>
        </is>
      </c>
      <c r="C5" s="63">
        <f>IF(C$4=0,1,POWER(1+'الافتراضات'!$F$21,C$4-1))</f>
        <v/>
      </c>
      <c r="D5" s="63">
        <f>IF(D$4=0,1,POWER(1+'الافتراضات'!$F$21,D$4-1))</f>
        <v/>
      </c>
      <c r="E5" s="63">
        <f>IF(E$4=0,1,POWER(1+'الافتراضات'!$F$21,E$4-1))</f>
        <v/>
      </c>
      <c r="F5" s="63">
        <f>IF(F$4=0,1,POWER(1+'الافتراضات'!$F$21,F$4-1))</f>
        <v/>
      </c>
      <c r="G5" s="63">
        <f>IF(G$4=0,1,POWER(1+'الافتراضات'!$F$21,G$4-1))</f>
        <v/>
      </c>
      <c r="H5" s="63">
        <f>IF(H$4=0,1,POWER(1+'الافتراضات'!$F$21,H$4-1))</f>
        <v/>
      </c>
      <c r="I5" s="63">
        <f>IF(I$4=0,1,POWER(1+'الافتراضات'!$F$21,I$4-1))</f>
        <v/>
      </c>
      <c r="J5" s="63">
        <f>IF(J$4=0,1,POWER(1+'الافتراضات'!$F$21,J$4-1))</f>
        <v/>
      </c>
      <c r="K5" s="63">
        <f>IF(K$4=0,1,POWER(1+'الافتراضات'!$F$21,K$4-1))</f>
        <v/>
      </c>
      <c r="L5" s="63">
        <f>IF(L$4=0,1,POWER(1+'الافتراضات'!$F$21,L$4-1))</f>
        <v/>
      </c>
      <c r="M5" s="63">
        <f>IF(M$4=0,1,POWER(1+'الافتراضات'!$F$21,M$4-1))</f>
        <v/>
      </c>
      <c r="N5" s="63">
        <f>IF(N$4=0,1,POWER(1+'الافتراضات'!$F$21,N$4-1))</f>
        <v/>
      </c>
      <c r="O5" s="63">
        <f>IF(O$4=0,1,POWER(1+'الافتراضات'!$F$21,O$4-1))</f>
        <v/>
      </c>
      <c r="P5" s="63">
        <f>IF(P$4=0,1,POWER(1+'الافتراضات'!$F$21,P$4-1))</f>
        <v/>
      </c>
      <c r="Q5" s="63">
        <f>IF(Q$4=0,1,POWER(1+'الافتراضات'!$F$21,Q$4-1))</f>
        <v/>
      </c>
      <c r="R5" s="63">
        <f>IF(R$4=0,1,POWER(1+'الافتراضات'!$F$21,R$4-1))</f>
        <v/>
      </c>
      <c r="S5" s="63">
        <f>IF(S$4=0,1,POWER(1+'الافتراضات'!$F$21,S$4-1))</f>
        <v/>
      </c>
      <c r="T5" s="63">
        <f>IF(T$4=0,1,POWER(1+'الافتراضات'!$F$21,T$4-1))</f>
        <v/>
      </c>
      <c r="U5" s="63">
        <f>IF(U$4=0,1,POWER(1+'الافتراضات'!$F$21,U$4-1))</f>
        <v/>
      </c>
      <c r="V5" s="63">
        <f>IF(V$4=0,1,POWER(1+'الافتراضات'!$F$21,V$4-1))</f>
        <v/>
      </c>
      <c r="W5" s="63">
        <f>IF(W$4=0,1,POWER(1+'الافتراضات'!$F$21,W$4-1))</f>
        <v/>
      </c>
      <c r="X5" s="63">
        <f>IF(X$4=0,1,POWER(1+'الافتراضات'!$F$21,X$4-1))</f>
        <v/>
      </c>
      <c r="Y5" s="63">
        <f>IF(Y$4=0,1,POWER(1+'الافتراضات'!$F$21,Y$4-1))</f>
        <v/>
      </c>
      <c r="Z5" s="63">
        <f>IF(Z$4=0,1,POWER(1+'الافتراضات'!$F$21,Z$4-1))</f>
        <v/>
      </c>
      <c r="AA5" s="63">
        <f>IF(AA$4=0,1,POWER(1+'الافتراضات'!$F$21,AA$4-1))</f>
        <v/>
      </c>
      <c r="AB5" s="63">
        <f>IF(AB$4=0,1,POWER(1+'الافتراضات'!$F$21,AB$4-1))</f>
        <v/>
      </c>
      <c r="AC5" s="63">
        <f>IF(AC$4=0,1,POWER(1+'الافتراضات'!$F$21,AC$4-1))</f>
        <v/>
      </c>
      <c r="AD5" s="63">
        <f>IF(AD$4=0,1,POWER(1+'الافتراضات'!$F$21,AD$4-1))</f>
        <v/>
      </c>
      <c r="AE5" s="63">
        <f>IF(AE$4=0,1,POWER(1+'الافتراضات'!$F$21,AE$4-1))</f>
        <v/>
      </c>
      <c r="AF5" s="63">
        <f>IF(AF$4=0,1,POWER(1+'الافتراضات'!$F$21,AF$4-1))</f>
        <v/>
      </c>
      <c r="AG5" s="63">
        <f>IF(AG$4=0,1,POWER(1+'الافتراضات'!$F$21,AG$4-1))</f>
        <v/>
      </c>
      <c r="AH5" s="63">
        <f>IF(AH$4=0,1,POWER(1+'الافتراضات'!$F$21,AH$4-1))</f>
        <v/>
      </c>
      <c r="AI5" s="63">
        <f>IF(AI$4=0,1,POWER(1+'الافتراضات'!$F$21,AI$4-1))</f>
        <v/>
      </c>
      <c r="AJ5" s="63">
        <f>IF(AJ$4=0,1,POWER(1+'الافتراضات'!$F$21,AJ$4-1))</f>
        <v/>
      </c>
      <c r="AK5" s="63">
        <f>IF(AK$4=0,1,POWER(1+'الافتراضات'!$F$21,AK$4-1))</f>
        <v/>
      </c>
      <c r="AL5" s="63">
        <f>IF(AL$4=0,1,POWER(1+'الافتراضات'!$F$21,AL$4-1))</f>
        <v/>
      </c>
      <c r="AM5" s="63">
        <f>IF(AM$4=0,1,POWER(1+'الافتراضات'!$F$21,AM$4-1))</f>
        <v/>
      </c>
      <c r="AN5" s="63">
        <f>IF(AN$4=0,1,POWER(1+'الافتراضات'!$F$21,AN$4-1))</f>
        <v/>
      </c>
      <c r="AO5" s="63">
        <f>IF(AO$4=0,1,POWER(1+'الافتراضات'!$F$21,AO$4-1))</f>
        <v/>
      </c>
      <c r="AP5" s="63">
        <f>IF(AP$4=0,1,POWER(1+'الافتراضات'!$F$21,AP$4-1))</f>
        <v/>
      </c>
      <c r="AQ5" s="63">
        <f>IF(AQ$4=0,1,POWER(1+'الافتراضات'!$F$21,AQ$4-1))</f>
        <v/>
      </c>
      <c r="AR5" s="63">
        <f>IF(AR$4=0,1,POWER(1+'الافتراضات'!$F$21,AR$4-1))</f>
        <v/>
      </c>
      <c r="AS5" s="63">
        <f>IF(AS$4=0,1,POWER(1+'الافتراضات'!$F$21,AS$4-1))</f>
        <v/>
      </c>
      <c r="AT5" s="63">
        <f>IF(AT$4=0,1,POWER(1+'الافتراضات'!$F$21,AT$4-1))</f>
        <v/>
      </c>
      <c r="AU5" s="63">
        <f>IF(AU$4=0,1,POWER(1+'الافتراضات'!$F$21,AU$4-1))</f>
        <v/>
      </c>
      <c r="AV5" s="63">
        <f>IF(AV$4=0,1,POWER(1+'الافتراضات'!$F$21,AV$4-1))</f>
        <v/>
      </c>
      <c r="AW5" s="63">
        <f>IF(AW$4=0,1,POWER(1+'الافتراضات'!$F$21,AW$4-1))</f>
        <v/>
      </c>
      <c r="AX5" s="63">
        <f>IF(AX$4=0,1,POWER(1+'الافتراضات'!$F$21,AX$4-1))</f>
        <v/>
      </c>
      <c r="AY5" s="63">
        <f>IF(AY$4=0,1,POWER(1+'الافتراضات'!$F$21,AY$4-1))</f>
        <v/>
      </c>
      <c r="AZ5" s="63">
        <f>IF(AZ$4=0,1,POWER(1+'الافتراضات'!$F$21,AZ$4-1))</f>
        <v/>
      </c>
      <c r="BA5" s="63">
        <f>IF(BA$4=0,1,POWER(1+'الافتراضات'!$F$21,BA$4-1))</f>
        <v/>
      </c>
      <c r="BB5" s="63">
        <f>IF(BB$4=0,1,POWER(1+'الافتراضات'!$F$21,BB$4-1))</f>
        <v/>
      </c>
      <c r="BC5" s="63">
        <f>IF(BC$4=0,1,POWER(1+'الافتراضات'!$F$21,BC$4-1))</f>
        <v/>
      </c>
      <c r="BD5" s="63">
        <f>IF(BD$4=0,1,POWER(1+'الافتراضات'!$F$21,BD$4-1))</f>
        <v/>
      </c>
      <c r="BE5" s="63">
        <f>IF(BE$4=0,1,POWER(1+'الافتراضات'!$F$21,BE$4-1))</f>
        <v/>
      </c>
      <c r="BF5" s="63">
        <f>IF(BF$4=0,1,POWER(1+'الافتراضات'!$F$21,BF$4-1))</f>
        <v/>
      </c>
      <c r="BG5" s="63">
        <f>IF(BG$4=0,1,POWER(1+'الافتراضات'!$F$21,BG$4-1))</f>
        <v/>
      </c>
      <c r="BH5" s="63">
        <f>IF(BH$4=0,1,POWER(1+'الافتراضات'!$F$21,BH$4-1))</f>
        <v/>
      </c>
      <c r="BI5" s="63">
        <f>IF(BI$4=0,1,POWER(1+'الافتراضات'!$F$21,BI$4-1))</f>
        <v/>
      </c>
      <c r="BJ5" s="63">
        <f>IF(BJ$4=0,1,POWER(1+'الافتراضات'!$F$21,BJ$4-1))</f>
        <v/>
      </c>
      <c r="BK5" s="63">
        <f>IF(BK$4=0,1,POWER(1+'الافتراضات'!$F$21,BK$4-1))</f>
        <v/>
      </c>
      <c r="BL5" s="63">
        <f>IF(BL$4=0,1,POWER(1+'الافتراضات'!$F$21,BL$4-1))</f>
        <v/>
      </c>
      <c r="BM5" s="63">
        <f>IF(BM$4=0,1,POWER(1+'الافتراضات'!$F$21,BM$4-1))</f>
        <v/>
      </c>
      <c r="BN5" s="63">
        <f>IF(BN$4=0,1,POWER(1+'الافتراضات'!$F$21,BN$4-1))</f>
        <v/>
      </c>
      <c r="BO5" s="63">
        <f>IF(BO$4=0,1,POWER(1+'الافتراضات'!$F$21,BO$4-1))</f>
        <v/>
      </c>
      <c r="BP5" s="63">
        <f>IF(BP$4=0,1,POWER(1+'الافتراضات'!$F$21,BP$4-1))</f>
        <v/>
      </c>
      <c r="BQ5" s="63">
        <f>IF(BQ$4=0,1,POWER(1+'الافتراضات'!$F$21,BQ$4-1))</f>
        <v/>
      </c>
      <c r="BR5" s="63">
        <f>IF(BR$4=0,1,POWER(1+'الافتراضات'!$F$21,BR$4-1))</f>
        <v/>
      </c>
      <c r="BS5" s="63">
        <f>IF(BS$4=0,1,POWER(1+'الافتراضات'!$F$21,BS$4-1))</f>
        <v/>
      </c>
      <c r="BT5" s="63">
        <f>IF(BT$4=0,1,POWER(1+'الافتراضات'!$F$21,BT$4-1))</f>
        <v/>
      </c>
      <c r="BU5" s="63">
        <f>IF(BU$4=0,1,POWER(1+'الافتراضات'!$F$21,BU$4-1))</f>
        <v/>
      </c>
      <c r="BV5" s="63">
        <f>IF(BV$4=0,1,POWER(1+'الافتراضات'!$F$21,BV$4-1))</f>
        <v/>
      </c>
      <c r="BW5" s="63">
        <f>IF(BW$4=0,1,POWER(1+'الافتراضات'!$F$21,BW$4-1))</f>
        <v/>
      </c>
      <c r="BX5" s="63">
        <f>IF(BX$4=0,1,POWER(1+'الافتراضات'!$F$21,BX$4-1))</f>
        <v/>
      </c>
      <c r="BY5" s="63">
        <f>IF(BY$4=0,1,POWER(1+'الافتراضات'!$F$21,BY$4-1))</f>
        <v/>
      </c>
      <c r="BZ5" s="63">
        <f>IF(BZ$4=0,1,POWER(1+'الافتراضات'!$F$21,BZ$4-1))</f>
        <v/>
      </c>
      <c r="CA5" s="63">
        <f>IF(CA$4=0,1,POWER(1+'الافتراضات'!$F$21,CA$4-1))</f>
        <v/>
      </c>
      <c r="CB5" s="63">
        <f>IF(CB$4=0,1,POWER(1+'الافتراضات'!$F$21,CB$4-1))</f>
        <v/>
      </c>
      <c r="CC5" s="63">
        <f>IF(CC$4=0,1,POWER(1+'الافتراضات'!$F$21,CC$4-1))</f>
        <v/>
      </c>
      <c r="CD5" s="63">
        <f>IF(CD$4=0,1,POWER(1+'الافتراضات'!$F$21,CD$4-1))</f>
        <v/>
      </c>
      <c r="CE5" s="63">
        <f>IF(CE$4=0,1,POWER(1+'الافتراضات'!$F$21,CE$4-1))</f>
        <v/>
      </c>
      <c r="CF5" s="63">
        <f>IF(CF$4=0,1,POWER(1+'الافتراضات'!$F$21,CF$4-1))</f>
        <v/>
      </c>
      <c r="CG5" s="63">
        <f>IF(CG$4=0,1,POWER(1+'الافتراضات'!$F$21,CG$4-1))</f>
        <v/>
      </c>
      <c r="CH5" s="63">
        <f>IF(CH$4=0,1,POWER(1+'الافتراضات'!$F$21,CH$4-1))</f>
        <v/>
      </c>
      <c r="CI5" s="63">
        <f>IF(CI$4=0,1,POWER(1+'الافتراضات'!$F$21,CI$4-1))</f>
        <v/>
      </c>
      <c r="CJ5" s="63">
        <f>IF(CJ$4=0,1,POWER(1+'الافتراضات'!$F$21,CJ$4-1))</f>
        <v/>
      </c>
      <c r="CK5" s="63">
        <f>IF(CK$4=0,1,POWER(1+'الافتراضات'!$F$21,CK$4-1))</f>
        <v/>
      </c>
      <c r="CL5" s="63">
        <f>IF(CL$4=0,1,POWER(1+'الافتراضات'!$F$21,CL$4-1))</f>
        <v/>
      </c>
      <c r="CM5" s="63">
        <f>IF(CM$4=0,1,POWER(1+'الافتراضات'!$F$21,CM$4-1))</f>
        <v/>
      </c>
      <c r="CN5" s="63">
        <f>IF(CN$4=0,1,POWER(1+'الافتراضات'!$F$21,CN$4-1))</f>
        <v/>
      </c>
      <c r="CO5" s="63">
        <f>IF(CO$4=0,1,POWER(1+'الافتراضات'!$F$21,CO$4-1))</f>
        <v/>
      </c>
      <c r="CP5" s="63">
        <f>IF(CP$4=0,1,POWER(1+'الافتراضات'!$F$21,CP$4-1))</f>
        <v/>
      </c>
      <c r="CQ5" s="63">
        <f>IF(CQ$4=0,1,POWER(1+'الافتراضات'!$F$21,CQ$4-1))</f>
        <v/>
      </c>
      <c r="CR5" s="63">
        <f>IF(CR$4=0,1,POWER(1+'الافتراضات'!$F$21,CR$4-1))</f>
        <v/>
      </c>
      <c r="CS5" s="63">
        <f>IF(CS$4=0,1,POWER(1+'الافتراضات'!$F$21,CS$4-1))</f>
        <v/>
      </c>
      <c r="CT5" s="63">
        <f>IF(CT$4=0,1,POWER(1+'الافتراضات'!$F$21,CT$4-1))</f>
        <v/>
      </c>
      <c r="CU5" s="63">
        <f>IF(CU$4=0,1,POWER(1+'الافتراضات'!$F$21,CU$4-1))</f>
        <v/>
      </c>
      <c r="CV5" s="63">
        <f>IF(CV$4=0,1,POWER(1+'الافتراضات'!$F$21,CV$4-1))</f>
        <v/>
      </c>
      <c r="CW5" s="63">
        <f>IF(CW$4=0,1,POWER(1+'الافتراضات'!$F$21,CW$4-1))</f>
        <v/>
      </c>
      <c r="CX5" s="63">
        <f>IF(CX$4=0,1,POWER(1+'الافتراضات'!$F$21,CX$4-1))</f>
        <v/>
      </c>
      <c r="CY5" s="63">
        <f>IF(CY$4=0,1,POWER(1+'الافتراضات'!$F$21,CY$4-1))</f>
        <v/>
      </c>
      <c r="CZ5" s="63">
        <f>IF(CZ$4=0,1,POWER(1+'الافتراضات'!$F$21,CZ$4-1))</f>
        <v/>
      </c>
      <c r="DA5" s="63">
        <f>IF(DA$4=0,1,POWER(1+'الافتراضات'!$F$21,DA$4-1))</f>
        <v/>
      </c>
      <c r="DB5" s="63">
        <f>IF(DB$4=0,1,POWER(1+'الافتراضات'!$F$21,DB$4-1))</f>
        <v/>
      </c>
      <c r="DC5" s="63">
        <f>IF(DC$4=0,1,POWER(1+'الافتراضات'!$F$21,DC$4-1))</f>
        <v/>
      </c>
      <c r="DD5" s="63">
        <f>IF(DD$4=0,1,POWER(1+'الافتراضات'!$F$21,DD$4-1))</f>
        <v/>
      </c>
      <c r="DE5" s="63">
        <f>IF(DE$4=0,1,POWER(1+'الافتراضات'!$F$21,DE$4-1))</f>
        <v/>
      </c>
      <c r="DF5" s="63">
        <f>IF(DF$4=0,1,POWER(1+'الافتراضات'!$F$21,DF$4-1))</f>
        <v/>
      </c>
      <c r="DG5" s="63">
        <f>IF(DG$4=0,1,POWER(1+'الافتراضات'!$F$21,DG$4-1))</f>
        <v/>
      </c>
      <c r="DH5" s="63">
        <f>IF(DH$4=0,1,POWER(1+'الافتراضات'!$F$21,DH$4-1))</f>
        <v/>
      </c>
      <c r="DI5" s="63">
        <f>IF(DI$4=0,1,POWER(1+'الافتراضات'!$F$21,DI$4-1))</f>
        <v/>
      </c>
      <c r="DJ5" s="63">
        <f>IF(DJ$4=0,1,POWER(1+'الافتراضات'!$F$21,DJ$4-1))</f>
        <v/>
      </c>
      <c r="DK5" s="63">
        <f>IF(DK$4=0,1,POWER(1+'الافتراضات'!$F$21,DK$4-1))</f>
        <v/>
      </c>
      <c r="DL5" s="63">
        <f>IF(DL$4=0,1,POWER(1+'الافتراضات'!$F$21,DL$4-1))</f>
        <v/>
      </c>
      <c r="DM5" s="63">
        <f>IF(DM$4=0,1,POWER(1+'الافتراضات'!$F$21,DM$4-1))</f>
        <v/>
      </c>
      <c r="DN5" s="63">
        <f>IF(DN$4=0,1,POWER(1+'الافتراضات'!$F$21,DN$4-1))</f>
        <v/>
      </c>
      <c r="DO5" s="63">
        <f>IF(DO$4=0,1,POWER(1+'الافتراضات'!$F$21,DO$4-1))</f>
        <v/>
      </c>
      <c r="DP5" s="63">
        <f>IF(DP$4=0,1,POWER(1+'الافتراضات'!$F$21,DP$4-1))</f>
        <v/>
      </c>
      <c r="DQ5" s="63">
        <f>IF(DQ$4=0,1,POWER(1+'الافتراضات'!$F$21,DQ$4-1))</f>
        <v/>
      </c>
      <c r="DR5" s="63">
        <f>IF(DR$4=0,1,POWER(1+'الافتراضات'!$F$21,DR$4-1))</f>
        <v/>
      </c>
      <c r="DS5" s="63">
        <f>IF(DS$4=0,1,POWER(1+'الافتراضات'!$F$21,DS$4-1))</f>
        <v/>
      </c>
    </row>
    <row r="6">
      <c r="B6" s="22" t="inlineStr">
        <is>
          <t>معامل تصعيد أسعار الشراء</t>
        </is>
      </c>
      <c r="C6" s="63">
        <f>IF(C$4=0,1,POWER(1+'الافتراضات'!$F$22,C$4-1))</f>
        <v/>
      </c>
      <c r="D6" s="63">
        <f>IF(D$4=0,1,POWER(1+'الافتراضات'!$F$22,D$4-1))</f>
        <v/>
      </c>
      <c r="E6" s="63">
        <f>IF(E$4=0,1,POWER(1+'الافتراضات'!$F$22,E$4-1))</f>
        <v/>
      </c>
      <c r="F6" s="63">
        <f>IF(F$4=0,1,POWER(1+'الافتراضات'!$F$22,F$4-1))</f>
        <v/>
      </c>
      <c r="G6" s="63">
        <f>IF(G$4=0,1,POWER(1+'الافتراضات'!$F$22,G$4-1))</f>
        <v/>
      </c>
      <c r="H6" s="63">
        <f>IF(H$4=0,1,POWER(1+'الافتراضات'!$F$22,H$4-1))</f>
        <v/>
      </c>
      <c r="I6" s="63">
        <f>IF(I$4=0,1,POWER(1+'الافتراضات'!$F$22,I$4-1))</f>
        <v/>
      </c>
      <c r="J6" s="63">
        <f>IF(J$4=0,1,POWER(1+'الافتراضات'!$F$22,J$4-1))</f>
        <v/>
      </c>
      <c r="K6" s="63">
        <f>IF(K$4=0,1,POWER(1+'الافتراضات'!$F$22,K$4-1))</f>
        <v/>
      </c>
      <c r="L6" s="63">
        <f>IF(L$4=0,1,POWER(1+'الافتراضات'!$F$22,L$4-1))</f>
        <v/>
      </c>
      <c r="M6" s="63">
        <f>IF(M$4=0,1,POWER(1+'الافتراضات'!$F$22,M$4-1))</f>
        <v/>
      </c>
      <c r="N6" s="63">
        <f>IF(N$4=0,1,POWER(1+'الافتراضات'!$F$22,N$4-1))</f>
        <v/>
      </c>
      <c r="O6" s="63">
        <f>IF(O$4=0,1,POWER(1+'الافتراضات'!$F$22,O$4-1))</f>
        <v/>
      </c>
      <c r="P6" s="63">
        <f>IF(P$4=0,1,POWER(1+'الافتراضات'!$F$22,P$4-1))</f>
        <v/>
      </c>
      <c r="Q6" s="63">
        <f>IF(Q$4=0,1,POWER(1+'الافتراضات'!$F$22,Q$4-1))</f>
        <v/>
      </c>
      <c r="R6" s="63">
        <f>IF(R$4=0,1,POWER(1+'الافتراضات'!$F$22,R$4-1))</f>
        <v/>
      </c>
      <c r="S6" s="63">
        <f>IF(S$4=0,1,POWER(1+'الافتراضات'!$F$22,S$4-1))</f>
        <v/>
      </c>
      <c r="T6" s="63">
        <f>IF(T$4=0,1,POWER(1+'الافتراضات'!$F$22,T$4-1))</f>
        <v/>
      </c>
      <c r="U6" s="63">
        <f>IF(U$4=0,1,POWER(1+'الافتراضات'!$F$22,U$4-1))</f>
        <v/>
      </c>
      <c r="V6" s="63">
        <f>IF(V$4=0,1,POWER(1+'الافتراضات'!$F$22,V$4-1))</f>
        <v/>
      </c>
      <c r="W6" s="63">
        <f>IF(W$4=0,1,POWER(1+'الافتراضات'!$F$22,W$4-1))</f>
        <v/>
      </c>
      <c r="X6" s="63">
        <f>IF(X$4=0,1,POWER(1+'الافتراضات'!$F$22,X$4-1))</f>
        <v/>
      </c>
      <c r="Y6" s="63">
        <f>IF(Y$4=0,1,POWER(1+'الافتراضات'!$F$22,Y$4-1))</f>
        <v/>
      </c>
      <c r="Z6" s="63">
        <f>IF(Z$4=0,1,POWER(1+'الافتراضات'!$F$22,Z$4-1))</f>
        <v/>
      </c>
      <c r="AA6" s="63">
        <f>IF(AA$4=0,1,POWER(1+'الافتراضات'!$F$22,AA$4-1))</f>
        <v/>
      </c>
      <c r="AB6" s="63">
        <f>IF(AB$4=0,1,POWER(1+'الافتراضات'!$F$22,AB$4-1))</f>
        <v/>
      </c>
      <c r="AC6" s="63">
        <f>IF(AC$4=0,1,POWER(1+'الافتراضات'!$F$22,AC$4-1))</f>
        <v/>
      </c>
      <c r="AD6" s="63">
        <f>IF(AD$4=0,1,POWER(1+'الافتراضات'!$F$22,AD$4-1))</f>
        <v/>
      </c>
      <c r="AE6" s="63">
        <f>IF(AE$4=0,1,POWER(1+'الافتراضات'!$F$22,AE$4-1))</f>
        <v/>
      </c>
      <c r="AF6" s="63">
        <f>IF(AF$4=0,1,POWER(1+'الافتراضات'!$F$22,AF$4-1))</f>
        <v/>
      </c>
      <c r="AG6" s="63">
        <f>IF(AG$4=0,1,POWER(1+'الافتراضات'!$F$22,AG$4-1))</f>
        <v/>
      </c>
      <c r="AH6" s="63">
        <f>IF(AH$4=0,1,POWER(1+'الافتراضات'!$F$22,AH$4-1))</f>
        <v/>
      </c>
      <c r="AI6" s="63">
        <f>IF(AI$4=0,1,POWER(1+'الافتراضات'!$F$22,AI$4-1))</f>
        <v/>
      </c>
      <c r="AJ6" s="63">
        <f>IF(AJ$4=0,1,POWER(1+'الافتراضات'!$F$22,AJ$4-1))</f>
        <v/>
      </c>
      <c r="AK6" s="63">
        <f>IF(AK$4=0,1,POWER(1+'الافتراضات'!$F$22,AK$4-1))</f>
        <v/>
      </c>
      <c r="AL6" s="63">
        <f>IF(AL$4=0,1,POWER(1+'الافتراضات'!$F$22,AL$4-1))</f>
        <v/>
      </c>
      <c r="AM6" s="63">
        <f>IF(AM$4=0,1,POWER(1+'الافتراضات'!$F$22,AM$4-1))</f>
        <v/>
      </c>
      <c r="AN6" s="63">
        <f>IF(AN$4=0,1,POWER(1+'الافتراضات'!$F$22,AN$4-1))</f>
        <v/>
      </c>
      <c r="AO6" s="63">
        <f>IF(AO$4=0,1,POWER(1+'الافتراضات'!$F$22,AO$4-1))</f>
        <v/>
      </c>
      <c r="AP6" s="63">
        <f>IF(AP$4=0,1,POWER(1+'الافتراضات'!$F$22,AP$4-1))</f>
        <v/>
      </c>
      <c r="AQ6" s="63">
        <f>IF(AQ$4=0,1,POWER(1+'الافتراضات'!$F$22,AQ$4-1))</f>
        <v/>
      </c>
      <c r="AR6" s="63">
        <f>IF(AR$4=0,1,POWER(1+'الافتراضات'!$F$22,AR$4-1))</f>
        <v/>
      </c>
      <c r="AS6" s="63">
        <f>IF(AS$4=0,1,POWER(1+'الافتراضات'!$F$22,AS$4-1))</f>
        <v/>
      </c>
      <c r="AT6" s="63">
        <f>IF(AT$4=0,1,POWER(1+'الافتراضات'!$F$22,AT$4-1))</f>
        <v/>
      </c>
      <c r="AU6" s="63">
        <f>IF(AU$4=0,1,POWER(1+'الافتراضات'!$F$22,AU$4-1))</f>
        <v/>
      </c>
      <c r="AV6" s="63">
        <f>IF(AV$4=0,1,POWER(1+'الافتراضات'!$F$22,AV$4-1))</f>
        <v/>
      </c>
      <c r="AW6" s="63">
        <f>IF(AW$4=0,1,POWER(1+'الافتراضات'!$F$22,AW$4-1))</f>
        <v/>
      </c>
      <c r="AX6" s="63">
        <f>IF(AX$4=0,1,POWER(1+'الافتراضات'!$F$22,AX$4-1))</f>
        <v/>
      </c>
      <c r="AY6" s="63">
        <f>IF(AY$4=0,1,POWER(1+'الافتراضات'!$F$22,AY$4-1))</f>
        <v/>
      </c>
      <c r="AZ6" s="63">
        <f>IF(AZ$4=0,1,POWER(1+'الافتراضات'!$F$22,AZ$4-1))</f>
        <v/>
      </c>
      <c r="BA6" s="63">
        <f>IF(BA$4=0,1,POWER(1+'الافتراضات'!$F$22,BA$4-1))</f>
        <v/>
      </c>
      <c r="BB6" s="63">
        <f>IF(BB$4=0,1,POWER(1+'الافتراضات'!$F$22,BB$4-1))</f>
        <v/>
      </c>
      <c r="BC6" s="63">
        <f>IF(BC$4=0,1,POWER(1+'الافتراضات'!$F$22,BC$4-1))</f>
        <v/>
      </c>
      <c r="BD6" s="63">
        <f>IF(BD$4=0,1,POWER(1+'الافتراضات'!$F$22,BD$4-1))</f>
        <v/>
      </c>
      <c r="BE6" s="63">
        <f>IF(BE$4=0,1,POWER(1+'الافتراضات'!$F$22,BE$4-1))</f>
        <v/>
      </c>
      <c r="BF6" s="63">
        <f>IF(BF$4=0,1,POWER(1+'الافتراضات'!$F$22,BF$4-1))</f>
        <v/>
      </c>
      <c r="BG6" s="63">
        <f>IF(BG$4=0,1,POWER(1+'الافتراضات'!$F$22,BG$4-1))</f>
        <v/>
      </c>
      <c r="BH6" s="63">
        <f>IF(BH$4=0,1,POWER(1+'الافتراضات'!$F$22,BH$4-1))</f>
        <v/>
      </c>
      <c r="BI6" s="63">
        <f>IF(BI$4=0,1,POWER(1+'الافتراضات'!$F$22,BI$4-1))</f>
        <v/>
      </c>
      <c r="BJ6" s="63">
        <f>IF(BJ$4=0,1,POWER(1+'الافتراضات'!$F$22,BJ$4-1))</f>
        <v/>
      </c>
      <c r="BK6" s="63">
        <f>IF(BK$4=0,1,POWER(1+'الافتراضات'!$F$22,BK$4-1))</f>
        <v/>
      </c>
      <c r="BL6" s="63">
        <f>IF(BL$4=0,1,POWER(1+'الافتراضات'!$F$22,BL$4-1))</f>
        <v/>
      </c>
      <c r="BM6" s="63">
        <f>IF(BM$4=0,1,POWER(1+'الافتراضات'!$F$22,BM$4-1))</f>
        <v/>
      </c>
      <c r="BN6" s="63">
        <f>IF(BN$4=0,1,POWER(1+'الافتراضات'!$F$22,BN$4-1))</f>
        <v/>
      </c>
      <c r="BO6" s="63">
        <f>IF(BO$4=0,1,POWER(1+'الافتراضات'!$F$22,BO$4-1))</f>
        <v/>
      </c>
      <c r="BP6" s="63">
        <f>IF(BP$4=0,1,POWER(1+'الافتراضات'!$F$22,BP$4-1))</f>
        <v/>
      </c>
      <c r="BQ6" s="63">
        <f>IF(BQ$4=0,1,POWER(1+'الافتراضات'!$F$22,BQ$4-1))</f>
        <v/>
      </c>
      <c r="BR6" s="63">
        <f>IF(BR$4=0,1,POWER(1+'الافتراضات'!$F$22,BR$4-1))</f>
        <v/>
      </c>
      <c r="BS6" s="63">
        <f>IF(BS$4=0,1,POWER(1+'الافتراضات'!$F$22,BS$4-1))</f>
        <v/>
      </c>
      <c r="BT6" s="63">
        <f>IF(BT$4=0,1,POWER(1+'الافتراضات'!$F$22,BT$4-1))</f>
        <v/>
      </c>
      <c r="BU6" s="63">
        <f>IF(BU$4=0,1,POWER(1+'الافتراضات'!$F$22,BU$4-1))</f>
        <v/>
      </c>
      <c r="BV6" s="63">
        <f>IF(BV$4=0,1,POWER(1+'الافتراضات'!$F$22,BV$4-1))</f>
        <v/>
      </c>
      <c r="BW6" s="63">
        <f>IF(BW$4=0,1,POWER(1+'الافتراضات'!$F$22,BW$4-1))</f>
        <v/>
      </c>
      <c r="BX6" s="63">
        <f>IF(BX$4=0,1,POWER(1+'الافتراضات'!$F$22,BX$4-1))</f>
        <v/>
      </c>
      <c r="BY6" s="63">
        <f>IF(BY$4=0,1,POWER(1+'الافتراضات'!$F$22,BY$4-1))</f>
        <v/>
      </c>
      <c r="BZ6" s="63">
        <f>IF(BZ$4=0,1,POWER(1+'الافتراضات'!$F$22,BZ$4-1))</f>
        <v/>
      </c>
      <c r="CA6" s="63">
        <f>IF(CA$4=0,1,POWER(1+'الافتراضات'!$F$22,CA$4-1))</f>
        <v/>
      </c>
      <c r="CB6" s="63">
        <f>IF(CB$4=0,1,POWER(1+'الافتراضات'!$F$22,CB$4-1))</f>
        <v/>
      </c>
      <c r="CC6" s="63">
        <f>IF(CC$4=0,1,POWER(1+'الافتراضات'!$F$22,CC$4-1))</f>
        <v/>
      </c>
      <c r="CD6" s="63">
        <f>IF(CD$4=0,1,POWER(1+'الافتراضات'!$F$22,CD$4-1))</f>
        <v/>
      </c>
      <c r="CE6" s="63">
        <f>IF(CE$4=0,1,POWER(1+'الافتراضات'!$F$22,CE$4-1))</f>
        <v/>
      </c>
      <c r="CF6" s="63">
        <f>IF(CF$4=0,1,POWER(1+'الافتراضات'!$F$22,CF$4-1))</f>
        <v/>
      </c>
      <c r="CG6" s="63">
        <f>IF(CG$4=0,1,POWER(1+'الافتراضات'!$F$22,CG$4-1))</f>
        <v/>
      </c>
      <c r="CH6" s="63">
        <f>IF(CH$4=0,1,POWER(1+'الافتراضات'!$F$22,CH$4-1))</f>
        <v/>
      </c>
      <c r="CI6" s="63">
        <f>IF(CI$4=0,1,POWER(1+'الافتراضات'!$F$22,CI$4-1))</f>
        <v/>
      </c>
      <c r="CJ6" s="63">
        <f>IF(CJ$4=0,1,POWER(1+'الافتراضات'!$F$22,CJ$4-1))</f>
        <v/>
      </c>
      <c r="CK6" s="63">
        <f>IF(CK$4=0,1,POWER(1+'الافتراضات'!$F$22,CK$4-1))</f>
        <v/>
      </c>
      <c r="CL6" s="63">
        <f>IF(CL$4=0,1,POWER(1+'الافتراضات'!$F$22,CL$4-1))</f>
        <v/>
      </c>
      <c r="CM6" s="63">
        <f>IF(CM$4=0,1,POWER(1+'الافتراضات'!$F$22,CM$4-1))</f>
        <v/>
      </c>
      <c r="CN6" s="63">
        <f>IF(CN$4=0,1,POWER(1+'الافتراضات'!$F$22,CN$4-1))</f>
        <v/>
      </c>
      <c r="CO6" s="63">
        <f>IF(CO$4=0,1,POWER(1+'الافتراضات'!$F$22,CO$4-1))</f>
        <v/>
      </c>
      <c r="CP6" s="63">
        <f>IF(CP$4=0,1,POWER(1+'الافتراضات'!$F$22,CP$4-1))</f>
        <v/>
      </c>
      <c r="CQ6" s="63">
        <f>IF(CQ$4=0,1,POWER(1+'الافتراضات'!$F$22,CQ$4-1))</f>
        <v/>
      </c>
      <c r="CR6" s="63">
        <f>IF(CR$4=0,1,POWER(1+'الافتراضات'!$F$22,CR$4-1))</f>
        <v/>
      </c>
      <c r="CS6" s="63">
        <f>IF(CS$4=0,1,POWER(1+'الافتراضات'!$F$22,CS$4-1))</f>
        <v/>
      </c>
      <c r="CT6" s="63">
        <f>IF(CT$4=0,1,POWER(1+'الافتراضات'!$F$22,CT$4-1))</f>
        <v/>
      </c>
      <c r="CU6" s="63">
        <f>IF(CU$4=0,1,POWER(1+'الافتراضات'!$F$22,CU$4-1))</f>
        <v/>
      </c>
      <c r="CV6" s="63">
        <f>IF(CV$4=0,1,POWER(1+'الافتراضات'!$F$22,CV$4-1))</f>
        <v/>
      </c>
      <c r="CW6" s="63">
        <f>IF(CW$4=0,1,POWER(1+'الافتراضات'!$F$22,CW$4-1))</f>
        <v/>
      </c>
      <c r="CX6" s="63">
        <f>IF(CX$4=0,1,POWER(1+'الافتراضات'!$F$22,CX$4-1))</f>
        <v/>
      </c>
      <c r="CY6" s="63">
        <f>IF(CY$4=0,1,POWER(1+'الافتراضات'!$F$22,CY$4-1))</f>
        <v/>
      </c>
      <c r="CZ6" s="63">
        <f>IF(CZ$4=0,1,POWER(1+'الافتراضات'!$F$22,CZ$4-1))</f>
        <v/>
      </c>
      <c r="DA6" s="63">
        <f>IF(DA$4=0,1,POWER(1+'الافتراضات'!$F$22,DA$4-1))</f>
        <v/>
      </c>
      <c r="DB6" s="63">
        <f>IF(DB$4=0,1,POWER(1+'الافتراضات'!$F$22,DB$4-1))</f>
        <v/>
      </c>
      <c r="DC6" s="63">
        <f>IF(DC$4=0,1,POWER(1+'الافتراضات'!$F$22,DC$4-1))</f>
        <v/>
      </c>
      <c r="DD6" s="63">
        <f>IF(DD$4=0,1,POWER(1+'الافتراضات'!$F$22,DD$4-1))</f>
        <v/>
      </c>
      <c r="DE6" s="63">
        <f>IF(DE$4=0,1,POWER(1+'الافتراضات'!$F$22,DE$4-1))</f>
        <v/>
      </c>
      <c r="DF6" s="63">
        <f>IF(DF$4=0,1,POWER(1+'الافتراضات'!$F$22,DF$4-1))</f>
        <v/>
      </c>
      <c r="DG6" s="63">
        <f>IF(DG$4=0,1,POWER(1+'الافتراضات'!$F$22,DG$4-1))</f>
        <v/>
      </c>
      <c r="DH6" s="63">
        <f>IF(DH$4=0,1,POWER(1+'الافتراضات'!$F$22,DH$4-1))</f>
        <v/>
      </c>
      <c r="DI6" s="63">
        <f>IF(DI$4=0,1,POWER(1+'الافتراضات'!$F$22,DI$4-1))</f>
        <v/>
      </c>
      <c r="DJ6" s="63">
        <f>IF(DJ$4=0,1,POWER(1+'الافتراضات'!$F$22,DJ$4-1))</f>
        <v/>
      </c>
      <c r="DK6" s="63">
        <f>IF(DK$4=0,1,POWER(1+'الافتراضات'!$F$22,DK$4-1))</f>
        <v/>
      </c>
      <c r="DL6" s="63">
        <f>IF(DL$4=0,1,POWER(1+'الافتراضات'!$F$22,DL$4-1))</f>
        <v/>
      </c>
      <c r="DM6" s="63">
        <f>IF(DM$4=0,1,POWER(1+'الافتراضات'!$F$22,DM$4-1))</f>
        <v/>
      </c>
      <c r="DN6" s="63">
        <f>IF(DN$4=0,1,POWER(1+'الافتراضات'!$F$22,DN$4-1))</f>
        <v/>
      </c>
      <c r="DO6" s="63">
        <f>IF(DO$4=0,1,POWER(1+'الافتراضات'!$F$22,DO$4-1))</f>
        <v/>
      </c>
      <c r="DP6" s="63">
        <f>IF(DP$4=0,1,POWER(1+'الافتراضات'!$F$22,DP$4-1))</f>
        <v/>
      </c>
      <c r="DQ6" s="63">
        <f>IF(DQ$4=0,1,POWER(1+'الافتراضات'!$F$22,DQ$4-1))</f>
        <v/>
      </c>
      <c r="DR6" s="63">
        <f>IF(DR$4=0,1,POWER(1+'الافتراضات'!$F$22,DR$4-1))</f>
        <v/>
      </c>
      <c r="DS6" s="63">
        <f>IF(DS$4=0,1,POWER(1+'الافتراضات'!$F$22,DS$4-1))</f>
        <v/>
      </c>
    </row>
    <row r="7">
      <c r="B7" s="22" t="inlineStr">
        <is>
          <t>معامل تصعيد التكاليف الثابتة</t>
        </is>
      </c>
      <c r="C7" s="63">
        <f>IF(C$4=0,1,POWER(1+'الافتراضات'!$F$23,C$4-1))</f>
        <v/>
      </c>
      <c r="D7" s="63">
        <f>IF(D$4=0,1,POWER(1+'الافتراضات'!$F$23,D$4-1))</f>
        <v/>
      </c>
      <c r="E7" s="63">
        <f>IF(E$4=0,1,POWER(1+'الافتراضات'!$F$23,E$4-1))</f>
        <v/>
      </c>
      <c r="F7" s="63">
        <f>IF(F$4=0,1,POWER(1+'الافتراضات'!$F$23,F$4-1))</f>
        <v/>
      </c>
      <c r="G7" s="63">
        <f>IF(G$4=0,1,POWER(1+'الافتراضات'!$F$23,G$4-1))</f>
        <v/>
      </c>
      <c r="H7" s="63">
        <f>IF(H$4=0,1,POWER(1+'الافتراضات'!$F$23,H$4-1))</f>
        <v/>
      </c>
      <c r="I7" s="63">
        <f>IF(I$4=0,1,POWER(1+'الافتراضات'!$F$23,I$4-1))</f>
        <v/>
      </c>
      <c r="J7" s="63">
        <f>IF(J$4=0,1,POWER(1+'الافتراضات'!$F$23,J$4-1))</f>
        <v/>
      </c>
      <c r="K7" s="63">
        <f>IF(K$4=0,1,POWER(1+'الافتراضات'!$F$23,K$4-1))</f>
        <v/>
      </c>
      <c r="L7" s="63">
        <f>IF(L$4=0,1,POWER(1+'الافتراضات'!$F$23,L$4-1))</f>
        <v/>
      </c>
      <c r="M7" s="63">
        <f>IF(M$4=0,1,POWER(1+'الافتراضات'!$F$23,M$4-1))</f>
        <v/>
      </c>
      <c r="N7" s="63">
        <f>IF(N$4=0,1,POWER(1+'الافتراضات'!$F$23,N$4-1))</f>
        <v/>
      </c>
      <c r="O7" s="63">
        <f>IF(O$4=0,1,POWER(1+'الافتراضات'!$F$23,O$4-1))</f>
        <v/>
      </c>
      <c r="P7" s="63">
        <f>IF(P$4=0,1,POWER(1+'الافتراضات'!$F$23,P$4-1))</f>
        <v/>
      </c>
      <c r="Q7" s="63">
        <f>IF(Q$4=0,1,POWER(1+'الافتراضات'!$F$23,Q$4-1))</f>
        <v/>
      </c>
      <c r="R7" s="63">
        <f>IF(R$4=0,1,POWER(1+'الافتراضات'!$F$23,R$4-1))</f>
        <v/>
      </c>
      <c r="S7" s="63">
        <f>IF(S$4=0,1,POWER(1+'الافتراضات'!$F$23,S$4-1))</f>
        <v/>
      </c>
      <c r="T7" s="63">
        <f>IF(T$4=0,1,POWER(1+'الافتراضات'!$F$23,T$4-1))</f>
        <v/>
      </c>
      <c r="U7" s="63">
        <f>IF(U$4=0,1,POWER(1+'الافتراضات'!$F$23,U$4-1))</f>
        <v/>
      </c>
      <c r="V7" s="63">
        <f>IF(V$4=0,1,POWER(1+'الافتراضات'!$F$23,V$4-1))</f>
        <v/>
      </c>
      <c r="W7" s="63">
        <f>IF(W$4=0,1,POWER(1+'الافتراضات'!$F$23,W$4-1))</f>
        <v/>
      </c>
      <c r="X7" s="63">
        <f>IF(X$4=0,1,POWER(1+'الافتراضات'!$F$23,X$4-1))</f>
        <v/>
      </c>
      <c r="Y7" s="63">
        <f>IF(Y$4=0,1,POWER(1+'الافتراضات'!$F$23,Y$4-1))</f>
        <v/>
      </c>
      <c r="Z7" s="63">
        <f>IF(Z$4=0,1,POWER(1+'الافتراضات'!$F$23,Z$4-1))</f>
        <v/>
      </c>
      <c r="AA7" s="63">
        <f>IF(AA$4=0,1,POWER(1+'الافتراضات'!$F$23,AA$4-1))</f>
        <v/>
      </c>
      <c r="AB7" s="63">
        <f>IF(AB$4=0,1,POWER(1+'الافتراضات'!$F$23,AB$4-1))</f>
        <v/>
      </c>
      <c r="AC7" s="63">
        <f>IF(AC$4=0,1,POWER(1+'الافتراضات'!$F$23,AC$4-1))</f>
        <v/>
      </c>
      <c r="AD7" s="63">
        <f>IF(AD$4=0,1,POWER(1+'الافتراضات'!$F$23,AD$4-1))</f>
        <v/>
      </c>
      <c r="AE7" s="63">
        <f>IF(AE$4=0,1,POWER(1+'الافتراضات'!$F$23,AE$4-1))</f>
        <v/>
      </c>
      <c r="AF7" s="63">
        <f>IF(AF$4=0,1,POWER(1+'الافتراضات'!$F$23,AF$4-1))</f>
        <v/>
      </c>
      <c r="AG7" s="63">
        <f>IF(AG$4=0,1,POWER(1+'الافتراضات'!$F$23,AG$4-1))</f>
        <v/>
      </c>
      <c r="AH7" s="63">
        <f>IF(AH$4=0,1,POWER(1+'الافتراضات'!$F$23,AH$4-1))</f>
        <v/>
      </c>
      <c r="AI7" s="63">
        <f>IF(AI$4=0,1,POWER(1+'الافتراضات'!$F$23,AI$4-1))</f>
        <v/>
      </c>
      <c r="AJ7" s="63">
        <f>IF(AJ$4=0,1,POWER(1+'الافتراضات'!$F$23,AJ$4-1))</f>
        <v/>
      </c>
      <c r="AK7" s="63">
        <f>IF(AK$4=0,1,POWER(1+'الافتراضات'!$F$23,AK$4-1))</f>
        <v/>
      </c>
      <c r="AL7" s="63">
        <f>IF(AL$4=0,1,POWER(1+'الافتراضات'!$F$23,AL$4-1))</f>
        <v/>
      </c>
      <c r="AM7" s="63">
        <f>IF(AM$4=0,1,POWER(1+'الافتراضات'!$F$23,AM$4-1))</f>
        <v/>
      </c>
      <c r="AN7" s="63">
        <f>IF(AN$4=0,1,POWER(1+'الافتراضات'!$F$23,AN$4-1))</f>
        <v/>
      </c>
      <c r="AO7" s="63">
        <f>IF(AO$4=0,1,POWER(1+'الافتراضات'!$F$23,AO$4-1))</f>
        <v/>
      </c>
      <c r="AP7" s="63">
        <f>IF(AP$4=0,1,POWER(1+'الافتراضات'!$F$23,AP$4-1))</f>
        <v/>
      </c>
      <c r="AQ7" s="63">
        <f>IF(AQ$4=0,1,POWER(1+'الافتراضات'!$F$23,AQ$4-1))</f>
        <v/>
      </c>
      <c r="AR7" s="63">
        <f>IF(AR$4=0,1,POWER(1+'الافتراضات'!$F$23,AR$4-1))</f>
        <v/>
      </c>
      <c r="AS7" s="63">
        <f>IF(AS$4=0,1,POWER(1+'الافتراضات'!$F$23,AS$4-1))</f>
        <v/>
      </c>
      <c r="AT7" s="63">
        <f>IF(AT$4=0,1,POWER(1+'الافتراضات'!$F$23,AT$4-1))</f>
        <v/>
      </c>
      <c r="AU7" s="63">
        <f>IF(AU$4=0,1,POWER(1+'الافتراضات'!$F$23,AU$4-1))</f>
        <v/>
      </c>
      <c r="AV7" s="63">
        <f>IF(AV$4=0,1,POWER(1+'الافتراضات'!$F$23,AV$4-1))</f>
        <v/>
      </c>
      <c r="AW7" s="63">
        <f>IF(AW$4=0,1,POWER(1+'الافتراضات'!$F$23,AW$4-1))</f>
        <v/>
      </c>
      <c r="AX7" s="63">
        <f>IF(AX$4=0,1,POWER(1+'الافتراضات'!$F$23,AX$4-1))</f>
        <v/>
      </c>
      <c r="AY7" s="63">
        <f>IF(AY$4=0,1,POWER(1+'الافتراضات'!$F$23,AY$4-1))</f>
        <v/>
      </c>
      <c r="AZ7" s="63">
        <f>IF(AZ$4=0,1,POWER(1+'الافتراضات'!$F$23,AZ$4-1))</f>
        <v/>
      </c>
      <c r="BA7" s="63">
        <f>IF(BA$4=0,1,POWER(1+'الافتراضات'!$F$23,BA$4-1))</f>
        <v/>
      </c>
      <c r="BB7" s="63">
        <f>IF(BB$4=0,1,POWER(1+'الافتراضات'!$F$23,BB$4-1))</f>
        <v/>
      </c>
      <c r="BC7" s="63">
        <f>IF(BC$4=0,1,POWER(1+'الافتراضات'!$F$23,BC$4-1))</f>
        <v/>
      </c>
      <c r="BD7" s="63">
        <f>IF(BD$4=0,1,POWER(1+'الافتراضات'!$F$23,BD$4-1))</f>
        <v/>
      </c>
      <c r="BE7" s="63">
        <f>IF(BE$4=0,1,POWER(1+'الافتراضات'!$F$23,BE$4-1))</f>
        <v/>
      </c>
      <c r="BF7" s="63">
        <f>IF(BF$4=0,1,POWER(1+'الافتراضات'!$F$23,BF$4-1))</f>
        <v/>
      </c>
      <c r="BG7" s="63">
        <f>IF(BG$4=0,1,POWER(1+'الافتراضات'!$F$23,BG$4-1))</f>
        <v/>
      </c>
      <c r="BH7" s="63">
        <f>IF(BH$4=0,1,POWER(1+'الافتراضات'!$F$23,BH$4-1))</f>
        <v/>
      </c>
      <c r="BI7" s="63">
        <f>IF(BI$4=0,1,POWER(1+'الافتراضات'!$F$23,BI$4-1))</f>
        <v/>
      </c>
      <c r="BJ7" s="63">
        <f>IF(BJ$4=0,1,POWER(1+'الافتراضات'!$F$23,BJ$4-1))</f>
        <v/>
      </c>
      <c r="BK7" s="63">
        <f>IF(BK$4=0,1,POWER(1+'الافتراضات'!$F$23,BK$4-1))</f>
        <v/>
      </c>
      <c r="BL7" s="63">
        <f>IF(BL$4=0,1,POWER(1+'الافتراضات'!$F$23,BL$4-1))</f>
        <v/>
      </c>
      <c r="BM7" s="63">
        <f>IF(BM$4=0,1,POWER(1+'الافتراضات'!$F$23,BM$4-1))</f>
        <v/>
      </c>
      <c r="BN7" s="63">
        <f>IF(BN$4=0,1,POWER(1+'الافتراضات'!$F$23,BN$4-1))</f>
        <v/>
      </c>
      <c r="BO7" s="63">
        <f>IF(BO$4=0,1,POWER(1+'الافتراضات'!$F$23,BO$4-1))</f>
        <v/>
      </c>
      <c r="BP7" s="63">
        <f>IF(BP$4=0,1,POWER(1+'الافتراضات'!$F$23,BP$4-1))</f>
        <v/>
      </c>
      <c r="BQ7" s="63">
        <f>IF(BQ$4=0,1,POWER(1+'الافتراضات'!$F$23,BQ$4-1))</f>
        <v/>
      </c>
      <c r="BR7" s="63">
        <f>IF(BR$4=0,1,POWER(1+'الافتراضات'!$F$23,BR$4-1))</f>
        <v/>
      </c>
      <c r="BS7" s="63">
        <f>IF(BS$4=0,1,POWER(1+'الافتراضات'!$F$23,BS$4-1))</f>
        <v/>
      </c>
      <c r="BT7" s="63">
        <f>IF(BT$4=0,1,POWER(1+'الافتراضات'!$F$23,BT$4-1))</f>
        <v/>
      </c>
      <c r="BU7" s="63">
        <f>IF(BU$4=0,1,POWER(1+'الافتراضات'!$F$23,BU$4-1))</f>
        <v/>
      </c>
      <c r="BV7" s="63">
        <f>IF(BV$4=0,1,POWER(1+'الافتراضات'!$F$23,BV$4-1))</f>
        <v/>
      </c>
      <c r="BW7" s="63">
        <f>IF(BW$4=0,1,POWER(1+'الافتراضات'!$F$23,BW$4-1))</f>
        <v/>
      </c>
      <c r="BX7" s="63">
        <f>IF(BX$4=0,1,POWER(1+'الافتراضات'!$F$23,BX$4-1))</f>
        <v/>
      </c>
      <c r="BY7" s="63">
        <f>IF(BY$4=0,1,POWER(1+'الافتراضات'!$F$23,BY$4-1))</f>
        <v/>
      </c>
      <c r="BZ7" s="63">
        <f>IF(BZ$4=0,1,POWER(1+'الافتراضات'!$F$23,BZ$4-1))</f>
        <v/>
      </c>
      <c r="CA7" s="63">
        <f>IF(CA$4=0,1,POWER(1+'الافتراضات'!$F$23,CA$4-1))</f>
        <v/>
      </c>
      <c r="CB7" s="63">
        <f>IF(CB$4=0,1,POWER(1+'الافتراضات'!$F$23,CB$4-1))</f>
        <v/>
      </c>
      <c r="CC7" s="63">
        <f>IF(CC$4=0,1,POWER(1+'الافتراضات'!$F$23,CC$4-1))</f>
        <v/>
      </c>
      <c r="CD7" s="63">
        <f>IF(CD$4=0,1,POWER(1+'الافتراضات'!$F$23,CD$4-1))</f>
        <v/>
      </c>
      <c r="CE7" s="63">
        <f>IF(CE$4=0,1,POWER(1+'الافتراضات'!$F$23,CE$4-1))</f>
        <v/>
      </c>
      <c r="CF7" s="63">
        <f>IF(CF$4=0,1,POWER(1+'الافتراضات'!$F$23,CF$4-1))</f>
        <v/>
      </c>
      <c r="CG7" s="63">
        <f>IF(CG$4=0,1,POWER(1+'الافتراضات'!$F$23,CG$4-1))</f>
        <v/>
      </c>
      <c r="CH7" s="63">
        <f>IF(CH$4=0,1,POWER(1+'الافتراضات'!$F$23,CH$4-1))</f>
        <v/>
      </c>
      <c r="CI7" s="63">
        <f>IF(CI$4=0,1,POWER(1+'الافتراضات'!$F$23,CI$4-1))</f>
        <v/>
      </c>
      <c r="CJ7" s="63">
        <f>IF(CJ$4=0,1,POWER(1+'الافتراضات'!$F$23,CJ$4-1))</f>
        <v/>
      </c>
      <c r="CK7" s="63">
        <f>IF(CK$4=0,1,POWER(1+'الافتراضات'!$F$23,CK$4-1))</f>
        <v/>
      </c>
      <c r="CL7" s="63">
        <f>IF(CL$4=0,1,POWER(1+'الافتراضات'!$F$23,CL$4-1))</f>
        <v/>
      </c>
      <c r="CM7" s="63">
        <f>IF(CM$4=0,1,POWER(1+'الافتراضات'!$F$23,CM$4-1))</f>
        <v/>
      </c>
      <c r="CN7" s="63">
        <f>IF(CN$4=0,1,POWER(1+'الافتراضات'!$F$23,CN$4-1))</f>
        <v/>
      </c>
      <c r="CO7" s="63">
        <f>IF(CO$4=0,1,POWER(1+'الافتراضات'!$F$23,CO$4-1))</f>
        <v/>
      </c>
      <c r="CP7" s="63">
        <f>IF(CP$4=0,1,POWER(1+'الافتراضات'!$F$23,CP$4-1))</f>
        <v/>
      </c>
      <c r="CQ7" s="63">
        <f>IF(CQ$4=0,1,POWER(1+'الافتراضات'!$F$23,CQ$4-1))</f>
        <v/>
      </c>
      <c r="CR7" s="63">
        <f>IF(CR$4=0,1,POWER(1+'الافتراضات'!$F$23,CR$4-1))</f>
        <v/>
      </c>
      <c r="CS7" s="63">
        <f>IF(CS$4=0,1,POWER(1+'الافتراضات'!$F$23,CS$4-1))</f>
        <v/>
      </c>
      <c r="CT7" s="63">
        <f>IF(CT$4=0,1,POWER(1+'الافتراضات'!$F$23,CT$4-1))</f>
        <v/>
      </c>
      <c r="CU7" s="63">
        <f>IF(CU$4=0,1,POWER(1+'الافتراضات'!$F$23,CU$4-1))</f>
        <v/>
      </c>
      <c r="CV7" s="63">
        <f>IF(CV$4=0,1,POWER(1+'الافتراضات'!$F$23,CV$4-1))</f>
        <v/>
      </c>
      <c r="CW7" s="63">
        <f>IF(CW$4=0,1,POWER(1+'الافتراضات'!$F$23,CW$4-1))</f>
        <v/>
      </c>
      <c r="CX7" s="63">
        <f>IF(CX$4=0,1,POWER(1+'الافتراضات'!$F$23,CX$4-1))</f>
        <v/>
      </c>
      <c r="CY7" s="63">
        <f>IF(CY$4=0,1,POWER(1+'الافتراضات'!$F$23,CY$4-1))</f>
        <v/>
      </c>
      <c r="CZ7" s="63">
        <f>IF(CZ$4=0,1,POWER(1+'الافتراضات'!$F$23,CZ$4-1))</f>
        <v/>
      </c>
      <c r="DA7" s="63">
        <f>IF(DA$4=0,1,POWER(1+'الافتراضات'!$F$23,DA$4-1))</f>
        <v/>
      </c>
      <c r="DB7" s="63">
        <f>IF(DB$4=0,1,POWER(1+'الافتراضات'!$F$23,DB$4-1))</f>
        <v/>
      </c>
      <c r="DC7" s="63">
        <f>IF(DC$4=0,1,POWER(1+'الافتراضات'!$F$23,DC$4-1))</f>
        <v/>
      </c>
      <c r="DD7" s="63">
        <f>IF(DD$4=0,1,POWER(1+'الافتراضات'!$F$23,DD$4-1))</f>
        <v/>
      </c>
      <c r="DE7" s="63">
        <f>IF(DE$4=0,1,POWER(1+'الافتراضات'!$F$23,DE$4-1))</f>
        <v/>
      </c>
      <c r="DF7" s="63">
        <f>IF(DF$4=0,1,POWER(1+'الافتراضات'!$F$23,DF$4-1))</f>
        <v/>
      </c>
      <c r="DG7" s="63">
        <f>IF(DG$4=0,1,POWER(1+'الافتراضات'!$F$23,DG$4-1))</f>
        <v/>
      </c>
      <c r="DH7" s="63">
        <f>IF(DH$4=0,1,POWER(1+'الافتراضات'!$F$23,DH$4-1))</f>
        <v/>
      </c>
      <c r="DI7" s="63">
        <f>IF(DI$4=0,1,POWER(1+'الافتراضات'!$F$23,DI$4-1))</f>
        <v/>
      </c>
      <c r="DJ7" s="63">
        <f>IF(DJ$4=0,1,POWER(1+'الافتراضات'!$F$23,DJ$4-1))</f>
        <v/>
      </c>
      <c r="DK7" s="63">
        <f>IF(DK$4=0,1,POWER(1+'الافتراضات'!$F$23,DK$4-1))</f>
        <v/>
      </c>
      <c r="DL7" s="63">
        <f>IF(DL$4=0,1,POWER(1+'الافتراضات'!$F$23,DL$4-1))</f>
        <v/>
      </c>
      <c r="DM7" s="63">
        <f>IF(DM$4=0,1,POWER(1+'الافتراضات'!$F$23,DM$4-1))</f>
        <v/>
      </c>
      <c r="DN7" s="63">
        <f>IF(DN$4=0,1,POWER(1+'الافتراضات'!$F$23,DN$4-1))</f>
        <v/>
      </c>
      <c r="DO7" s="63">
        <f>IF(DO$4=0,1,POWER(1+'الافتراضات'!$F$23,DO$4-1))</f>
        <v/>
      </c>
      <c r="DP7" s="63">
        <f>IF(DP$4=0,1,POWER(1+'الافتراضات'!$F$23,DP$4-1))</f>
        <v/>
      </c>
      <c r="DQ7" s="63">
        <f>IF(DQ$4=0,1,POWER(1+'الافتراضات'!$F$23,DQ$4-1))</f>
        <v/>
      </c>
      <c r="DR7" s="63">
        <f>IF(DR$4=0,1,POWER(1+'الافتراضات'!$F$23,DR$4-1))</f>
        <v/>
      </c>
      <c r="DS7" s="63">
        <f>IF(DS$4=0,1,POWER(1+'الافتراضات'!$F$23,DS$4-1))</f>
        <v/>
      </c>
    </row>
    <row r="8">
      <c r="B8" s="22" t="inlineStr">
        <is>
          <t>الشعير المعالج (طن)</t>
        </is>
      </c>
      <c r="C8" s="64">
        <f>IF(C$3=0,0,'OPEX'!$C$7)</f>
        <v/>
      </c>
      <c r="D8" s="64">
        <f>IF(D$3=0,0,'OPEX'!$C$7)</f>
        <v/>
      </c>
      <c r="E8" s="64">
        <f>IF(E$3=0,0,'OPEX'!$C$7)</f>
        <v/>
      </c>
      <c r="F8" s="64">
        <f>IF(F$3=0,0,'OPEX'!$C$7)</f>
        <v/>
      </c>
      <c r="G8" s="64">
        <f>IF(G$3=0,0,'OPEX'!$C$7)</f>
        <v/>
      </c>
      <c r="H8" s="64">
        <f>IF(H$3=0,0,'OPEX'!$C$7)</f>
        <v/>
      </c>
      <c r="I8" s="64">
        <f>IF(I$3=0,0,'OPEX'!$C$7)</f>
        <v/>
      </c>
      <c r="J8" s="64">
        <f>IF(J$3=0,0,'OPEX'!$C$7)</f>
        <v/>
      </c>
      <c r="K8" s="64">
        <f>IF(K$3=0,0,'OPEX'!$C$7)</f>
        <v/>
      </c>
      <c r="L8" s="64">
        <f>IF(L$3=0,0,'OPEX'!$C$7)</f>
        <v/>
      </c>
      <c r="M8" s="64">
        <f>IF(M$3=0,0,'OPEX'!$C$7)</f>
        <v/>
      </c>
      <c r="N8" s="64">
        <f>IF(N$3=0,0,'OPEX'!$C$7)</f>
        <v/>
      </c>
      <c r="O8" s="64">
        <f>IF(O$3=0,0,'OPEX'!$C$7)</f>
        <v/>
      </c>
      <c r="P8" s="64">
        <f>IF(P$3=0,0,'OPEX'!$C$7)</f>
        <v/>
      </c>
      <c r="Q8" s="64">
        <f>IF(Q$3=0,0,'OPEX'!$C$7)</f>
        <v/>
      </c>
      <c r="R8" s="64">
        <f>IF(R$3=0,0,'OPEX'!$C$7)</f>
        <v/>
      </c>
      <c r="S8" s="64">
        <f>IF(S$3=0,0,'OPEX'!$C$7)</f>
        <v/>
      </c>
      <c r="T8" s="64">
        <f>IF(T$3=0,0,'OPEX'!$C$7)</f>
        <v/>
      </c>
      <c r="U8" s="64">
        <f>IF(U$3=0,0,'OPEX'!$C$7)</f>
        <v/>
      </c>
      <c r="V8" s="64">
        <f>IF(V$3=0,0,'OPEX'!$C$7)</f>
        <v/>
      </c>
      <c r="W8" s="64">
        <f>IF(W$3=0,0,'OPEX'!$C$7)</f>
        <v/>
      </c>
      <c r="X8" s="64">
        <f>IF(X$3=0,0,'OPEX'!$C$7)</f>
        <v/>
      </c>
      <c r="Y8" s="64">
        <f>IF(Y$3=0,0,'OPEX'!$C$7)</f>
        <v/>
      </c>
      <c r="Z8" s="64">
        <f>IF(Z$3=0,0,'OPEX'!$C$7)</f>
        <v/>
      </c>
      <c r="AA8" s="64">
        <f>IF(AA$3=0,0,'OPEX'!$C$7)</f>
        <v/>
      </c>
      <c r="AB8" s="64">
        <f>IF(AB$3=0,0,'OPEX'!$C$7)</f>
        <v/>
      </c>
      <c r="AC8" s="64">
        <f>IF(AC$3=0,0,'OPEX'!$C$7)</f>
        <v/>
      </c>
      <c r="AD8" s="64">
        <f>IF(AD$3=0,0,'OPEX'!$C$7)</f>
        <v/>
      </c>
      <c r="AE8" s="64">
        <f>IF(AE$3=0,0,'OPEX'!$C$7)</f>
        <v/>
      </c>
      <c r="AF8" s="64">
        <f>IF(AF$3=0,0,'OPEX'!$C$7)</f>
        <v/>
      </c>
      <c r="AG8" s="64">
        <f>IF(AG$3=0,0,'OPEX'!$C$7)</f>
        <v/>
      </c>
      <c r="AH8" s="64">
        <f>IF(AH$3=0,0,'OPEX'!$C$7)</f>
        <v/>
      </c>
      <c r="AI8" s="64">
        <f>IF(AI$3=0,0,'OPEX'!$C$7)</f>
        <v/>
      </c>
      <c r="AJ8" s="64">
        <f>IF(AJ$3=0,0,'OPEX'!$C$7)</f>
        <v/>
      </c>
      <c r="AK8" s="64">
        <f>IF(AK$3=0,0,'OPEX'!$C$7)</f>
        <v/>
      </c>
      <c r="AL8" s="64">
        <f>IF(AL$3=0,0,'OPEX'!$C$7)</f>
        <v/>
      </c>
      <c r="AM8" s="64">
        <f>IF(AM$3=0,0,'OPEX'!$C$7)</f>
        <v/>
      </c>
      <c r="AN8" s="64">
        <f>IF(AN$3=0,0,'OPEX'!$C$7)</f>
        <v/>
      </c>
      <c r="AO8" s="64">
        <f>IF(AO$3=0,0,'OPEX'!$C$7)</f>
        <v/>
      </c>
      <c r="AP8" s="64">
        <f>IF(AP$3=0,0,'OPEX'!$C$7)</f>
        <v/>
      </c>
      <c r="AQ8" s="64">
        <f>IF(AQ$3=0,0,'OPEX'!$C$7)</f>
        <v/>
      </c>
      <c r="AR8" s="64">
        <f>IF(AR$3=0,0,'OPEX'!$C$7)</f>
        <v/>
      </c>
      <c r="AS8" s="64">
        <f>IF(AS$3=0,0,'OPEX'!$C$7)</f>
        <v/>
      </c>
      <c r="AT8" s="64">
        <f>IF(AT$3=0,0,'OPEX'!$C$7)</f>
        <v/>
      </c>
      <c r="AU8" s="64">
        <f>IF(AU$3=0,0,'OPEX'!$C$7)</f>
        <v/>
      </c>
      <c r="AV8" s="64">
        <f>IF(AV$3=0,0,'OPEX'!$C$7)</f>
        <v/>
      </c>
      <c r="AW8" s="64">
        <f>IF(AW$3=0,0,'OPEX'!$C$7)</f>
        <v/>
      </c>
      <c r="AX8" s="64">
        <f>IF(AX$3=0,0,'OPEX'!$C$7)</f>
        <v/>
      </c>
      <c r="AY8" s="64">
        <f>IF(AY$3=0,0,'OPEX'!$C$7)</f>
        <v/>
      </c>
      <c r="AZ8" s="64">
        <f>IF(AZ$3=0,0,'OPEX'!$C$7)</f>
        <v/>
      </c>
      <c r="BA8" s="64">
        <f>IF(BA$3=0,0,'OPEX'!$C$7)</f>
        <v/>
      </c>
      <c r="BB8" s="64">
        <f>IF(BB$3=0,0,'OPEX'!$C$7)</f>
        <v/>
      </c>
      <c r="BC8" s="64">
        <f>IF(BC$3=0,0,'OPEX'!$C$7)</f>
        <v/>
      </c>
      <c r="BD8" s="64">
        <f>IF(BD$3=0,0,'OPEX'!$C$7)</f>
        <v/>
      </c>
      <c r="BE8" s="64">
        <f>IF(BE$3=0,0,'OPEX'!$C$7)</f>
        <v/>
      </c>
      <c r="BF8" s="64">
        <f>IF(BF$3=0,0,'OPEX'!$C$7)</f>
        <v/>
      </c>
      <c r="BG8" s="64">
        <f>IF(BG$3=0,0,'OPEX'!$C$7)</f>
        <v/>
      </c>
      <c r="BH8" s="64">
        <f>IF(BH$3=0,0,'OPEX'!$C$7)</f>
        <v/>
      </c>
      <c r="BI8" s="64">
        <f>IF(BI$3=0,0,'OPEX'!$C$7)</f>
        <v/>
      </c>
      <c r="BJ8" s="64">
        <f>IF(BJ$3=0,0,'OPEX'!$C$7)</f>
        <v/>
      </c>
      <c r="BK8" s="64">
        <f>IF(BK$3=0,0,'OPEX'!$C$7)</f>
        <v/>
      </c>
      <c r="BL8" s="64">
        <f>IF(BL$3=0,0,'OPEX'!$C$7)</f>
        <v/>
      </c>
      <c r="BM8" s="64">
        <f>IF(BM$3=0,0,'OPEX'!$C$7)</f>
        <v/>
      </c>
      <c r="BN8" s="64">
        <f>IF(BN$3=0,0,'OPEX'!$C$7)</f>
        <v/>
      </c>
      <c r="BO8" s="64">
        <f>IF(BO$3=0,0,'OPEX'!$C$7)</f>
        <v/>
      </c>
      <c r="BP8" s="64">
        <f>IF(BP$3=0,0,'OPEX'!$C$7)</f>
        <v/>
      </c>
      <c r="BQ8" s="64">
        <f>IF(BQ$3=0,0,'OPEX'!$C$7)</f>
        <v/>
      </c>
      <c r="BR8" s="64">
        <f>IF(BR$3=0,0,'OPEX'!$C$7)</f>
        <v/>
      </c>
      <c r="BS8" s="64">
        <f>IF(BS$3=0,0,'OPEX'!$C$7)</f>
        <v/>
      </c>
      <c r="BT8" s="64">
        <f>IF(BT$3=0,0,'OPEX'!$C$7)</f>
        <v/>
      </c>
      <c r="BU8" s="64">
        <f>IF(BU$3=0,0,'OPEX'!$C$7)</f>
        <v/>
      </c>
      <c r="BV8" s="64">
        <f>IF(BV$3=0,0,'OPEX'!$C$7)</f>
        <v/>
      </c>
      <c r="BW8" s="64">
        <f>IF(BW$3=0,0,'OPEX'!$C$7)</f>
        <v/>
      </c>
      <c r="BX8" s="64">
        <f>IF(BX$3=0,0,'OPEX'!$C$7)</f>
        <v/>
      </c>
      <c r="BY8" s="64">
        <f>IF(BY$3=0,0,'OPEX'!$C$7)</f>
        <v/>
      </c>
      <c r="BZ8" s="64">
        <f>IF(BZ$3=0,0,'OPEX'!$C$7)</f>
        <v/>
      </c>
      <c r="CA8" s="64">
        <f>IF(CA$3=0,0,'OPEX'!$C$7)</f>
        <v/>
      </c>
      <c r="CB8" s="64">
        <f>IF(CB$3=0,0,'OPEX'!$C$7)</f>
        <v/>
      </c>
      <c r="CC8" s="64">
        <f>IF(CC$3=0,0,'OPEX'!$C$7)</f>
        <v/>
      </c>
      <c r="CD8" s="64">
        <f>IF(CD$3=0,0,'OPEX'!$C$7)</f>
        <v/>
      </c>
      <c r="CE8" s="64">
        <f>IF(CE$3=0,0,'OPEX'!$C$7)</f>
        <v/>
      </c>
      <c r="CF8" s="64">
        <f>IF(CF$3=0,0,'OPEX'!$C$7)</f>
        <v/>
      </c>
      <c r="CG8" s="64">
        <f>IF(CG$3=0,0,'OPEX'!$C$7)</f>
        <v/>
      </c>
      <c r="CH8" s="64">
        <f>IF(CH$3=0,0,'OPEX'!$C$7)</f>
        <v/>
      </c>
      <c r="CI8" s="64">
        <f>IF(CI$3=0,0,'OPEX'!$C$7)</f>
        <v/>
      </c>
      <c r="CJ8" s="64">
        <f>IF(CJ$3=0,0,'OPEX'!$C$7)</f>
        <v/>
      </c>
      <c r="CK8" s="64">
        <f>IF(CK$3=0,0,'OPEX'!$C$7)</f>
        <v/>
      </c>
      <c r="CL8" s="64">
        <f>IF(CL$3=0,0,'OPEX'!$C$7)</f>
        <v/>
      </c>
      <c r="CM8" s="64">
        <f>IF(CM$3=0,0,'OPEX'!$C$7)</f>
        <v/>
      </c>
      <c r="CN8" s="64">
        <f>IF(CN$3=0,0,'OPEX'!$C$7)</f>
        <v/>
      </c>
      <c r="CO8" s="64">
        <f>IF(CO$3=0,0,'OPEX'!$C$7)</f>
        <v/>
      </c>
      <c r="CP8" s="64">
        <f>IF(CP$3=0,0,'OPEX'!$C$7)</f>
        <v/>
      </c>
      <c r="CQ8" s="64">
        <f>IF(CQ$3=0,0,'OPEX'!$C$7)</f>
        <v/>
      </c>
      <c r="CR8" s="64">
        <f>IF(CR$3=0,0,'OPEX'!$C$7)</f>
        <v/>
      </c>
      <c r="CS8" s="64">
        <f>IF(CS$3=0,0,'OPEX'!$C$7)</f>
        <v/>
      </c>
      <c r="CT8" s="64">
        <f>IF(CT$3=0,0,'OPEX'!$C$7)</f>
        <v/>
      </c>
      <c r="CU8" s="64">
        <f>IF(CU$3=0,0,'OPEX'!$C$7)</f>
        <v/>
      </c>
      <c r="CV8" s="64">
        <f>IF(CV$3=0,0,'OPEX'!$C$7)</f>
        <v/>
      </c>
      <c r="CW8" s="64">
        <f>IF(CW$3=0,0,'OPEX'!$C$7)</f>
        <v/>
      </c>
      <c r="CX8" s="64">
        <f>IF(CX$3=0,0,'OPEX'!$C$7)</f>
        <v/>
      </c>
      <c r="CY8" s="64">
        <f>IF(CY$3=0,0,'OPEX'!$C$7)</f>
        <v/>
      </c>
      <c r="CZ8" s="64">
        <f>IF(CZ$3=0,0,'OPEX'!$C$7)</f>
        <v/>
      </c>
      <c r="DA8" s="64">
        <f>IF(DA$3=0,0,'OPEX'!$C$7)</f>
        <v/>
      </c>
      <c r="DB8" s="64">
        <f>IF(DB$3=0,0,'OPEX'!$C$7)</f>
        <v/>
      </c>
      <c r="DC8" s="64">
        <f>IF(DC$3=0,0,'OPEX'!$C$7)</f>
        <v/>
      </c>
      <c r="DD8" s="64">
        <f>IF(DD$3=0,0,'OPEX'!$C$7)</f>
        <v/>
      </c>
      <c r="DE8" s="64">
        <f>IF(DE$3=0,0,'OPEX'!$C$7)</f>
        <v/>
      </c>
      <c r="DF8" s="64">
        <f>IF(DF$3=0,0,'OPEX'!$C$7)</f>
        <v/>
      </c>
      <c r="DG8" s="64">
        <f>IF(DG$3=0,0,'OPEX'!$C$7)</f>
        <v/>
      </c>
      <c r="DH8" s="64">
        <f>IF(DH$3=0,0,'OPEX'!$C$7)</f>
        <v/>
      </c>
      <c r="DI8" s="64">
        <f>IF(DI$3=0,0,'OPEX'!$C$7)</f>
        <v/>
      </c>
      <c r="DJ8" s="64">
        <f>IF(DJ$3=0,0,'OPEX'!$C$7)</f>
        <v/>
      </c>
      <c r="DK8" s="64">
        <f>IF(DK$3=0,0,'OPEX'!$C$7)</f>
        <v/>
      </c>
      <c r="DL8" s="64">
        <f>IF(DL$3=0,0,'OPEX'!$C$7)</f>
        <v/>
      </c>
      <c r="DM8" s="64">
        <f>IF(DM$3=0,0,'OPEX'!$C$7)</f>
        <v/>
      </c>
      <c r="DN8" s="64">
        <f>IF(DN$3=0,0,'OPEX'!$C$7)</f>
        <v/>
      </c>
      <c r="DO8" s="64">
        <f>IF(DO$3=0,0,'OPEX'!$C$7)</f>
        <v/>
      </c>
      <c r="DP8" s="64">
        <f>IF(DP$3=0,0,'OPEX'!$C$7)</f>
        <v/>
      </c>
      <c r="DQ8" s="64">
        <f>IF(DQ$3=0,0,'OPEX'!$C$7)</f>
        <v/>
      </c>
      <c r="DR8" s="64">
        <f>IF(DR$3=0,0,'OPEX'!$C$7)</f>
        <v/>
      </c>
      <c r="DS8" s="64">
        <f>IF(DS$3=0,0,'OPEX'!$C$7)</f>
        <v/>
      </c>
    </row>
    <row r="9">
      <c r="B9" s="22" t="inlineStr">
        <is>
          <t>الأرز الأبيض المعبأ (طن)</t>
        </is>
      </c>
      <c r="C9" s="64">
        <f>IF(C$3=0,0,'OPEX'!$C$8)</f>
        <v/>
      </c>
      <c r="D9" s="64">
        <f>IF(D$3=0,0,'OPEX'!$C$8)</f>
        <v/>
      </c>
      <c r="E9" s="64">
        <f>IF(E$3=0,0,'OPEX'!$C$8)</f>
        <v/>
      </c>
      <c r="F9" s="64">
        <f>IF(F$3=0,0,'OPEX'!$C$8)</f>
        <v/>
      </c>
      <c r="G9" s="64">
        <f>IF(G$3=0,0,'OPEX'!$C$8)</f>
        <v/>
      </c>
      <c r="H9" s="64">
        <f>IF(H$3=0,0,'OPEX'!$C$8)</f>
        <v/>
      </c>
      <c r="I9" s="64">
        <f>IF(I$3=0,0,'OPEX'!$C$8)</f>
        <v/>
      </c>
      <c r="J9" s="64">
        <f>IF(J$3=0,0,'OPEX'!$C$8)</f>
        <v/>
      </c>
      <c r="K9" s="64">
        <f>IF(K$3=0,0,'OPEX'!$C$8)</f>
        <v/>
      </c>
      <c r="L9" s="64">
        <f>IF(L$3=0,0,'OPEX'!$C$8)</f>
        <v/>
      </c>
      <c r="M9" s="64">
        <f>IF(M$3=0,0,'OPEX'!$C$8)</f>
        <v/>
      </c>
      <c r="N9" s="64">
        <f>IF(N$3=0,0,'OPEX'!$C$8)</f>
        <v/>
      </c>
      <c r="O9" s="64">
        <f>IF(O$3=0,0,'OPEX'!$C$8)</f>
        <v/>
      </c>
      <c r="P9" s="64">
        <f>IF(P$3=0,0,'OPEX'!$C$8)</f>
        <v/>
      </c>
      <c r="Q9" s="64">
        <f>IF(Q$3=0,0,'OPEX'!$C$8)</f>
        <v/>
      </c>
      <c r="R9" s="64">
        <f>IF(R$3=0,0,'OPEX'!$C$8)</f>
        <v/>
      </c>
      <c r="S9" s="64">
        <f>IF(S$3=0,0,'OPEX'!$C$8)</f>
        <v/>
      </c>
      <c r="T9" s="64">
        <f>IF(T$3=0,0,'OPEX'!$C$8)</f>
        <v/>
      </c>
      <c r="U9" s="64">
        <f>IF(U$3=0,0,'OPEX'!$C$8)</f>
        <v/>
      </c>
      <c r="V9" s="64">
        <f>IF(V$3=0,0,'OPEX'!$C$8)</f>
        <v/>
      </c>
      <c r="W9" s="64">
        <f>IF(W$3=0,0,'OPEX'!$C$8)</f>
        <v/>
      </c>
      <c r="X9" s="64">
        <f>IF(X$3=0,0,'OPEX'!$C$8)</f>
        <v/>
      </c>
      <c r="Y9" s="64">
        <f>IF(Y$3=0,0,'OPEX'!$C$8)</f>
        <v/>
      </c>
      <c r="Z9" s="64">
        <f>IF(Z$3=0,0,'OPEX'!$C$8)</f>
        <v/>
      </c>
      <c r="AA9" s="64">
        <f>IF(AA$3=0,0,'OPEX'!$C$8)</f>
        <v/>
      </c>
      <c r="AB9" s="64">
        <f>IF(AB$3=0,0,'OPEX'!$C$8)</f>
        <v/>
      </c>
      <c r="AC9" s="64">
        <f>IF(AC$3=0,0,'OPEX'!$C$8)</f>
        <v/>
      </c>
      <c r="AD9" s="64">
        <f>IF(AD$3=0,0,'OPEX'!$C$8)</f>
        <v/>
      </c>
      <c r="AE9" s="64">
        <f>IF(AE$3=0,0,'OPEX'!$C$8)</f>
        <v/>
      </c>
      <c r="AF9" s="64">
        <f>IF(AF$3=0,0,'OPEX'!$C$8)</f>
        <v/>
      </c>
      <c r="AG9" s="64">
        <f>IF(AG$3=0,0,'OPEX'!$C$8)</f>
        <v/>
      </c>
      <c r="AH9" s="64">
        <f>IF(AH$3=0,0,'OPEX'!$C$8)</f>
        <v/>
      </c>
      <c r="AI9" s="64">
        <f>IF(AI$3=0,0,'OPEX'!$C$8)</f>
        <v/>
      </c>
      <c r="AJ9" s="64">
        <f>IF(AJ$3=0,0,'OPEX'!$C$8)</f>
        <v/>
      </c>
      <c r="AK9" s="64">
        <f>IF(AK$3=0,0,'OPEX'!$C$8)</f>
        <v/>
      </c>
      <c r="AL9" s="64">
        <f>IF(AL$3=0,0,'OPEX'!$C$8)</f>
        <v/>
      </c>
      <c r="AM9" s="64">
        <f>IF(AM$3=0,0,'OPEX'!$C$8)</f>
        <v/>
      </c>
      <c r="AN9" s="64">
        <f>IF(AN$3=0,0,'OPEX'!$C$8)</f>
        <v/>
      </c>
      <c r="AO9" s="64">
        <f>IF(AO$3=0,0,'OPEX'!$C$8)</f>
        <v/>
      </c>
      <c r="AP9" s="64">
        <f>IF(AP$3=0,0,'OPEX'!$C$8)</f>
        <v/>
      </c>
      <c r="AQ9" s="64">
        <f>IF(AQ$3=0,0,'OPEX'!$C$8)</f>
        <v/>
      </c>
      <c r="AR9" s="64">
        <f>IF(AR$3=0,0,'OPEX'!$C$8)</f>
        <v/>
      </c>
      <c r="AS9" s="64">
        <f>IF(AS$3=0,0,'OPEX'!$C$8)</f>
        <v/>
      </c>
      <c r="AT9" s="64">
        <f>IF(AT$3=0,0,'OPEX'!$C$8)</f>
        <v/>
      </c>
      <c r="AU9" s="64">
        <f>IF(AU$3=0,0,'OPEX'!$C$8)</f>
        <v/>
      </c>
      <c r="AV9" s="64">
        <f>IF(AV$3=0,0,'OPEX'!$C$8)</f>
        <v/>
      </c>
      <c r="AW9" s="64">
        <f>IF(AW$3=0,0,'OPEX'!$C$8)</f>
        <v/>
      </c>
      <c r="AX9" s="64">
        <f>IF(AX$3=0,0,'OPEX'!$C$8)</f>
        <v/>
      </c>
      <c r="AY9" s="64">
        <f>IF(AY$3=0,0,'OPEX'!$C$8)</f>
        <v/>
      </c>
      <c r="AZ9" s="64">
        <f>IF(AZ$3=0,0,'OPEX'!$C$8)</f>
        <v/>
      </c>
      <c r="BA9" s="64">
        <f>IF(BA$3=0,0,'OPEX'!$C$8)</f>
        <v/>
      </c>
      <c r="BB9" s="64">
        <f>IF(BB$3=0,0,'OPEX'!$C$8)</f>
        <v/>
      </c>
      <c r="BC9" s="64">
        <f>IF(BC$3=0,0,'OPEX'!$C$8)</f>
        <v/>
      </c>
      <c r="BD9" s="64">
        <f>IF(BD$3=0,0,'OPEX'!$C$8)</f>
        <v/>
      </c>
      <c r="BE9" s="64">
        <f>IF(BE$3=0,0,'OPEX'!$C$8)</f>
        <v/>
      </c>
      <c r="BF9" s="64">
        <f>IF(BF$3=0,0,'OPEX'!$C$8)</f>
        <v/>
      </c>
      <c r="BG9" s="64">
        <f>IF(BG$3=0,0,'OPEX'!$C$8)</f>
        <v/>
      </c>
      <c r="BH9" s="64">
        <f>IF(BH$3=0,0,'OPEX'!$C$8)</f>
        <v/>
      </c>
      <c r="BI9" s="64">
        <f>IF(BI$3=0,0,'OPEX'!$C$8)</f>
        <v/>
      </c>
      <c r="BJ9" s="64">
        <f>IF(BJ$3=0,0,'OPEX'!$C$8)</f>
        <v/>
      </c>
      <c r="BK9" s="64">
        <f>IF(BK$3=0,0,'OPEX'!$C$8)</f>
        <v/>
      </c>
      <c r="BL9" s="64">
        <f>IF(BL$3=0,0,'OPEX'!$C$8)</f>
        <v/>
      </c>
      <c r="BM9" s="64">
        <f>IF(BM$3=0,0,'OPEX'!$C$8)</f>
        <v/>
      </c>
      <c r="BN9" s="64">
        <f>IF(BN$3=0,0,'OPEX'!$C$8)</f>
        <v/>
      </c>
      <c r="BO9" s="64">
        <f>IF(BO$3=0,0,'OPEX'!$C$8)</f>
        <v/>
      </c>
      <c r="BP9" s="64">
        <f>IF(BP$3=0,0,'OPEX'!$C$8)</f>
        <v/>
      </c>
      <c r="BQ9" s="64">
        <f>IF(BQ$3=0,0,'OPEX'!$C$8)</f>
        <v/>
      </c>
      <c r="BR9" s="64">
        <f>IF(BR$3=0,0,'OPEX'!$C$8)</f>
        <v/>
      </c>
      <c r="BS9" s="64">
        <f>IF(BS$3=0,0,'OPEX'!$C$8)</f>
        <v/>
      </c>
      <c r="BT9" s="64">
        <f>IF(BT$3=0,0,'OPEX'!$C$8)</f>
        <v/>
      </c>
      <c r="BU9" s="64">
        <f>IF(BU$3=0,0,'OPEX'!$C$8)</f>
        <v/>
      </c>
      <c r="BV9" s="64">
        <f>IF(BV$3=0,0,'OPEX'!$C$8)</f>
        <v/>
      </c>
      <c r="BW9" s="64">
        <f>IF(BW$3=0,0,'OPEX'!$C$8)</f>
        <v/>
      </c>
      <c r="BX9" s="64">
        <f>IF(BX$3=0,0,'OPEX'!$C$8)</f>
        <v/>
      </c>
      <c r="BY9" s="64">
        <f>IF(BY$3=0,0,'OPEX'!$C$8)</f>
        <v/>
      </c>
      <c r="BZ9" s="64">
        <f>IF(BZ$3=0,0,'OPEX'!$C$8)</f>
        <v/>
      </c>
      <c r="CA9" s="64">
        <f>IF(CA$3=0,0,'OPEX'!$C$8)</f>
        <v/>
      </c>
      <c r="CB9" s="64">
        <f>IF(CB$3=0,0,'OPEX'!$C$8)</f>
        <v/>
      </c>
      <c r="CC9" s="64">
        <f>IF(CC$3=0,0,'OPEX'!$C$8)</f>
        <v/>
      </c>
      <c r="CD9" s="64">
        <f>IF(CD$3=0,0,'OPEX'!$C$8)</f>
        <v/>
      </c>
      <c r="CE9" s="64">
        <f>IF(CE$3=0,0,'OPEX'!$C$8)</f>
        <v/>
      </c>
      <c r="CF9" s="64">
        <f>IF(CF$3=0,0,'OPEX'!$C$8)</f>
        <v/>
      </c>
      <c r="CG9" s="64">
        <f>IF(CG$3=0,0,'OPEX'!$C$8)</f>
        <v/>
      </c>
      <c r="CH9" s="64">
        <f>IF(CH$3=0,0,'OPEX'!$C$8)</f>
        <v/>
      </c>
      <c r="CI9" s="64">
        <f>IF(CI$3=0,0,'OPEX'!$C$8)</f>
        <v/>
      </c>
      <c r="CJ9" s="64">
        <f>IF(CJ$3=0,0,'OPEX'!$C$8)</f>
        <v/>
      </c>
      <c r="CK9" s="64">
        <f>IF(CK$3=0,0,'OPEX'!$C$8)</f>
        <v/>
      </c>
      <c r="CL9" s="64">
        <f>IF(CL$3=0,0,'OPEX'!$C$8)</f>
        <v/>
      </c>
      <c r="CM9" s="64">
        <f>IF(CM$3=0,0,'OPEX'!$C$8)</f>
        <v/>
      </c>
      <c r="CN9" s="64">
        <f>IF(CN$3=0,0,'OPEX'!$C$8)</f>
        <v/>
      </c>
      <c r="CO9" s="64">
        <f>IF(CO$3=0,0,'OPEX'!$C$8)</f>
        <v/>
      </c>
      <c r="CP9" s="64">
        <f>IF(CP$3=0,0,'OPEX'!$C$8)</f>
        <v/>
      </c>
      <c r="CQ9" s="64">
        <f>IF(CQ$3=0,0,'OPEX'!$C$8)</f>
        <v/>
      </c>
      <c r="CR9" s="64">
        <f>IF(CR$3=0,0,'OPEX'!$C$8)</f>
        <v/>
      </c>
      <c r="CS9" s="64">
        <f>IF(CS$3=0,0,'OPEX'!$C$8)</f>
        <v/>
      </c>
      <c r="CT9" s="64">
        <f>IF(CT$3=0,0,'OPEX'!$C$8)</f>
        <v/>
      </c>
      <c r="CU9" s="64">
        <f>IF(CU$3=0,0,'OPEX'!$C$8)</f>
        <v/>
      </c>
      <c r="CV9" s="64">
        <f>IF(CV$3=0,0,'OPEX'!$C$8)</f>
        <v/>
      </c>
      <c r="CW9" s="64">
        <f>IF(CW$3=0,0,'OPEX'!$C$8)</f>
        <v/>
      </c>
      <c r="CX9" s="64">
        <f>IF(CX$3=0,0,'OPEX'!$C$8)</f>
        <v/>
      </c>
      <c r="CY9" s="64">
        <f>IF(CY$3=0,0,'OPEX'!$C$8)</f>
        <v/>
      </c>
      <c r="CZ9" s="64">
        <f>IF(CZ$3=0,0,'OPEX'!$C$8)</f>
        <v/>
      </c>
      <c r="DA9" s="64">
        <f>IF(DA$3=0,0,'OPEX'!$C$8)</f>
        <v/>
      </c>
      <c r="DB9" s="64">
        <f>IF(DB$3=0,0,'OPEX'!$C$8)</f>
        <v/>
      </c>
      <c r="DC9" s="64">
        <f>IF(DC$3=0,0,'OPEX'!$C$8)</f>
        <v/>
      </c>
      <c r="DD9" s="64">
        <f>IF(DD$3=0,0,'OPEX'!$C$8)</f>
        <v/>
      </c>
      <c r="DE9" s="64">
        <f>IF(DE$3=0,0,'OPEX'!$C$8)</f>
        <v/>
      </c>
      <c r="DF9" s="64">
        <f>IF(DF$3=0,0,'OPEX'!$C$8)</f>
        <v/>
      </c>
      <c r="DG9" s="64">
        <f>IF(DG$3=0,0,'OPEX'!$C$8)</f>
        <v/>
      </c>
      <c r="DH9" s="64">
        <f>IF(DH$3=0,0,'OPEX'!$C$8)</f>
        <v/>
      </c>
      <c r="DI9" s="64">
        <f>IF(DI$3=0,0,'OPEX'!$C$8)</f>
        <v/>
      </c>
      <c r="DJ9" s="64">
        <f>IF(DJ$3=0,0,'OPEX'!$C$8)</f>
        <v/>
      </c>
      <c r="DK9" s="64">
        <f>IF(DK$3=0,0,'OPEX'!$C$8)</f>
        <v/>
      </c>
      <c r="DL9" s="64">
        <f>IF(DL$3=0,0,'OPEX'!$C$8)</f>
        <v/>
      </c>
      <c r="DM9" s="64">
        <f>IF(DM$3=0,0,'OPEX'!$C$8)</f>
        <v/>
      </c>
      <c r="DN9" s="64">
        <f>IF(DN$3=0,0,'OPEX'!$C$8)</f>
        <v/>
      </c>
      <c r="DO9" s="64">
        <f>IF(DO$3=0,0,'OPEX'!$C$8)</f>
        <v/>
      </c>
      <c r="DP9" s="64">
        <f>IF(DP$3=0,0,'OPEX'!$C$8)</f>
        <v/>
      </c>
      <c r="DQ9" s="64">
        <f>IF(DQ$3=0,0,'OPEX'!$C$8)</f>
        <v/>
      </c>
      <c r="DR9" s="64">
        <f>IF(DR$3=0,0,'OPEX'!$C$8)</f>
        <v/>
      </c>
      <c r="DS9" s="64">
        <f>IF(DS$3=0,0,'OPEX'!$C$8)</f>
        <v/>
      </c>
    </row>
    <row r="10">
      <c r="B10" s="22" t="inlineStr">
        <is>
          <t>الكسر والشوائب (طن)</t>
        </is>
      </c>
      <c r="C10" s="64">
        <f>IF(C$3=0,0,'OPEX'!$C$9)</f>
        <v/>
      </c>
      <c r="D10" s="64">
        <f>IF(D$3=0,0,'OPEX'!$C$9)</f>
        <v/>
      </c>
      <c r="E10" s="64">
        <f>IF(E$3=0,0,'OPEX'!$C$9)</f>
        <v/>
      </c>
      <c r="F10" s="64">
        <f>IF(F$3=0,0,'OPEX'!$C$9)</f>
        <v/>
      </c>
      <c r="G10" s="64">
        <f>IF(G$3=0,0,'OPEX'!$C$9)</f>
        <v/>
      </c>
      <c r="H10" s="64">
        <f>IF(H$3=0,0,'OPEX'!$C$9)</f>
        <v/>
      </c>
      <c r="I10" s="64">
        <f>IF(I$3=0,0,'OPEX'!$C$9)</f>
        <v/>
      </c>
      <c r="J10" s="64">
        <f>IF(J$3=0,0,'OPEX'!$C$9)</f>
        <v/>
      </c>
      <c r="K10" s="64">
        <f>IF(K$3=0,0,'OPEX'!$C$9)</f>
        <v/>
      </c>
      <c r="L10" s="64">
        <f>IF(L$3=0,0,'OPEX'!$C$9)</f>
        <v/>
      </c>
      <c r="M10" s="64">
        <f>IF(M$3=0,0,'OPEX'!$C$9)</f>
        <v/>
      </c>
      <c r="N10" s="64">
        <f>IF(N$3=0,0,'OPEX'!$C$9)</f>
        <v/>
      </c>
      <c r="O10" s="64">
        <f>IF(O$3=0,0,'OPEX'!$C$9)</f>
        <v/>
      </c>
      <c r="P10" s="64">
        <f>IF(P$3=0,0,'OPEX'!$C$9)</f>
        <v/>
      </c>
      <c r="Q10" s="64">
        <f>IF(Q$3=0,0,'OPEX'!$C$9)</f>
        <v/>
      </c>
      <c r="R10" s="64">
        <f>IF(R$3=0,0,'OPEX'!$C$9)</f>
        <v/>
      </c>
      <c r="S10" s="64">
        <f>IF(S$3=0,0,'OPEX'!$C$9)</f>
        <v/>
      </c>
      <c r="T10" s="64">
        <f>IF(T$3=0,0,'OPEX'!$C$9)</f>
        <v/>
      </c>
      <c r="U10" s="64">
        <f>IF(U$3=0,0,'OPEX'!$C$9)</f>
        <v/>
      </c>
      <c r="V10" s="64">
        <f>IF(V$3=0,0,'OPEX'!$C$9)</f>
        <v/>
      </c>
      <c r="W10" s="64">
        <f>IF(W$3=0,0,'OPEX'!$C$9)</f>
        <v/>
      </c>
      <c r="X10" s="64">
        <f>IF(X$3=0,0,'OPEX'!$C$9)</f>
        <v/>
      </c>
      <c r="Y10" s="64">
        <f>IF(Y$3=0,0,'OPEX'!$C$9)</f>
        <v/>
      </c>
      <c r="Z10" s="64">
        <f>IF(Z$3=0,0,'OPEX'!$C$9)</f>
        <v/>
      </c>
      <c r="AA10" s="64">
        <f>IF(AA$3=0,0,'OPEX'!$C$9)</f>
        <v/>
      </c>
      <c r="AB10" s="64">
        <f>IF(AB$3=0,0,'OPEX'!$C$9)</f>
        <v/>
      </c>
      <c r="AC10" s="64">
        <f>IF(AC$3=0,0,'OPEX'!$C$9)</f>
        <v/>
      </c>
      <c r="AD10" s="64">
        <f>IF(AD$3=0,0,'OPEX'!$C$9)</f>
        <v/>
      </c>
      <c r="AE10" s="64">
        <f>IF(AE$3=0,0,'OPEX'!$C$9)</f>
        <v/>
      </c>
      <c r="AF10" s="64">
        <f>IF(AF$3=0,0,'OPEX'!$C$9)</f>
        <v/>
      </c>
      <c r="AG10" s="64">
        <f>IF(AG$3=0,0,'OPEX'!$C$9)</f>
        <v/>
      </c>
      <c r="AH10" s="64">
        <f>IF(AH$3=0,0,'OPEX'!$C$9)</f>
        <v/>
      </c>
      <c r="AI10" s="64">
        <f>IF(AI$3=0,0,'OPEX'!$C$9)</f>
        <v/>
      </c>
      <c r="AJ10" s="64">
        <f>IF(AJ$3=0,0,'OPEX'!$C$9)</f>
        <v/>
      </c>
      <c r="AK10" s="64">
        <f>IF(AK$3=0,0,'OPEX'!$C$9)</f>
        <v/>
      </c>
      <c r="AL10" s="64">
        <f>IF(AL$3=0,0,'OPEX'!$C$9)</f>
        <v/>
      </c>
      <c r="AM10" s="64">
        <f>IF(AM$3=0,0,'OPEX'!$C$9)</f>
        <v/>
      </c>
      <c r="AN10" s="64">
        <f>IF(AN$3=0,0,'OPEX'!$C$9)</f>
        <v/>
      </c>
      <c r="AO10" s="64">
        <f>IF(AO$3=0,0,'OPEX'!$C$9)</f>
        <v/>
      </c>
      <c r="AP10" s="64">
        <f>IF(AP$3=0,0,'OPEX'!$C$9)</f>
        <v/>
      </c>
      <c r="AQ10" s="64">
        <f>IF(AQ$3=0,0,'OPEX'!$C$9)</f>
        <v/>
      </c>
      <c r="AR10" s="64">
        <f>IF(AR$3=0,0,'OPEX'!$C$9)</f>
        <v/>
      </c>
      <c r="AS10" s="64">
        <f>IF(AS$3=0,0,'OPEX'!$C$9)</f>
        <v/>
      </c>
      <c r="AT10" s="64">
        <f>IF(AT$3=0,0,'OPEX'!$C$9)</f>
        <v/>
      </c>
      <c r="AU10" s="64">
        <f>IF(AU$3=0,0,'OPEX'!$C$9)</f>
        <v/>
      </c>
      <c r="AV10" s="64">
        <f>IF(AV$3=0,0,'OPEX'!$C$9)</f>
        <v/>
      </c>
      <c r="AW10" s="64">
        <f>IF(AW$3=0,0,'OPEX'!$C$9)</f>
        <v/>
      </c>
      <c r="AX10" s="64">
        <f>IF(AX$3=0,0,'OPEX'!$C$9)</f>
        <v/>
      </c>
      <c r="AY10" s="64">
        <f>IF(AY$3=0,0,'OPEX'!$C$9)</f>
        <v/>
      </c>
      <c r="AZ10" s="64">
        <f>IF(AZ$3=0,0,'OPEX'!$C$9)</f>
        <v/>
      </c>
      <c r="BA10" s="64">
        <f>IF(BA$3=0,0,'OPEX'!$C$9)</f>
        <v/>
      </c>
      <c r="BB10" s="64">
        <f>IF(BB$3=0,0,'OPEX'!$C$9)</f>
        <v/>
      </c>
      <c r="BC10" s="64">
        <f>IF(BC$3=0,0,'OPEX'!$C$9)</f>
        <v/>
      </c>
      <c r="BD10" s="64">
        <f>IF(BD$3=0,0,'OPEX'!$C$9)</f>
        <v/>
      </c>
      <c r="BE10" s="64">
        <f>IF(BE$3=0,0,'OPEX'!$C$9)</f>
        <v/>
      </c>
      <c r="BF10" s="64">
        <f>IF(BF$3=0,0,'OPEX'!$C$9)</f>
        <v/>
      </c>
      <c r="BG10" s="64">
        <f>IF(BG$3=0,0,'OPEX'!$C$9)</f>
        <v/>
      </c>
      <c r="BH10" s="64">
        <f>IF(BH$3=0,0,'OPEX'!$C$9)</f>
        <v/>
      </c>
      <c r="BI10" s="64">
        <f>IF(BI$3=0,0,'OPEX'!$C$9)</f>
        <v/>
      </c>
      <c r="BJ10" s="64">
        <f>IF(BJ$3=0,0,'OPEX'!$C$9)</f>
        <v/>
      </c>
      <c r="BK10" s="64">
        <f>IF(BK$3=0,0,'OPEX'!$C$9)</f>
        <v/>
      </c>
      <c r="BL10" s="64">
        <f>IF(BL$3=0,0,'OPEX'!$C$9)</f>
        <v/>
      </c>
      <c r="BM10" s="64">
        <f>IF(BM$3=0,0,'OPEX'!$C$9)</f>
        <v/>
      </c>
      <c r="BN10" s="64">
        <f>IF(BN$3=0,0,'OPEX'!$C$9)</f>
        <v/>
      </c>
      <c r="BO10" s="64">
        <f>IF(BO$3=0,0,'OPEX'!$C$9)</f>
        <v/>
      </c>
      <c r="BP10" s="64">
        <f>IF(BP$3=0,0,'OPEX'!$C$9)</f>
        <v/>
      </c>
      <c r="BQ10" s="64">
        <f>IF(BQ$3=0,0,'OPEX'!$C$9)</f>
        <v/>
      </c>
      <c r="BR10" s="64">
        <f>IF(BR$3=0,0,'OPEX'!$C$9)</f>
        <v/>
      </c>
      <c r="BS10" s="64">
        <f>IF(BS$3=0,0,'OPEX'!$C$9)</f>
        <v/>
      </c>
      <c r="BT10" s="64">
        <f>IF(BT$3=0,0,'OPEX'!$C$9)</f>
        <v/>
      </c>
      <c r="BU10" s="64">
        <f>IF(BU$3=0,0,'OPEX'!$C$9)</f>
        <v/>
      </c>
      <c r="BV10" s="64">
        <f>IF(BV$3=0,0,'OPEX'!$C$9)</f>
        <v/>
      </c>
      <c r="BW10" s="64">
        <f>IF(BW$3=0,0,'OPEX'!$C$9)</f>
        <v/>
      </c>
      <c r="BX10" s="64">
        <f>IF(BX$3=0,0,'OPEX'!$C$9)</f>
        <v/>
      </c>
      <c r="BY10" s="64">
        <f>IF(BY$3=0,0,'OPEX'!$C$9)</f>
        <v/>
      </c>
      <c r="BZ10" s="64">
        <f>IF(BZ$3=0,0,'OPEX'!$C$9)</f>
        <v/>
      </c>
      <c r="CA10" s="64">
        <f>IF(CA$3=0,0,'OPEX'!$C$9)</f>
        <v/>
      </c>
      <c r="CB10" s="64">
        <f>IF(CB$3=0,0,'OPEX'!$C$9)</f>
        <v/>
      </c>
      <c r="CC10" s="64">
        <f>IF(CC$3=0,0,'OPEX'!$C$9)</f>
        <v/>
      </c>
      <c r="CD10" s="64">
        <f>IF(CD$3=0,0,'OPEX'!$C$9)</f>
        <v/>
      </c>
      <c r="CE10" s="64">
        <f>IF(CE$3=0,0,'OPEX'!$C$9)</f>
        <v/>
      </c>
      <c r="CF10" s="64">
        <f>IF(CF$3=0,0,'OPEX'!$C$9)</f>
        <v/>
      </c>
      <c r="CG10" s="64">
        <f>IF(CG$3=0,0,'OPEX'!$C$9)</f>
        <v/>
      </c>
      <c r="CH10" s="64">
        <f>IF(CH$3=0,0,'OPEX'!$C$9)</f>
        <v/>
      </c>
      <c r="CI10" s="64">
        <f>IF(CI$3=0,0,'OPEX'!$C$9)</f>
        <v/>
      </c>
      <c r="CJ10" s="64">
        <f>IF(CJ$3=0,0,'OPEX'!$C$9)</f>
        <v/>
      </c>
      <c r="CK10" s="64">
        <f>IF(CK$3=0,0,'OPEX'!$C$9)</f>
        <v/>
      </c>
      <c r="CL10" s="64">
        <f>IF(CL$3=0,0,'OPEX'!$C$9)</f>
        <v/>
      </c>
      <c r="CM10" s="64">
        <f>IF(CM$3=0,0,'OPEX'!$C$9)</f>
        <v/>
      </c>
      <c r="CN10" s="64">
        <f>IF(CN$3=0,0,'OPEX'!$C$9)</f>
        <v/>
      </c>
      <c r="CO10" s="64">
        <f>IF(CO$3=0,0,'OPEX'!$C$9)</f>
        <v/>
      </c>
      <c r="CP10" s="64">
        <f>IF(CP$3=0,0,'OPEX'!$C$9)</f>
        <v/>
      </c>
      <c r="CQ10" s="64">
        <f>IF(CQ$3=0,0,'OPEX'!$C$9)</f>
        <v/>
      </c>
      <c r="CR10" s="64">
        <f>IF(CR$3=0,0,'OPEX'!$C$9)</f>
        <v/>
      </c>
      <c r="CS10" s="64">
        <f>IF(CS$3=0,0,'OPEX'!$C$9)</f>
        <v/>
      </c>
      <c r="CT10" s="64">
        <f>IF(CT$3=0,0,'OPEX'!$C$9)</f>
        <v/>
      </c>
      <c r="CU10" s="64">
        <f>IF(CU$3=0,0,'OPEX'!$C$9)</f>
        <v/>
      </c>
      <c r="CV10" s="64">
        <f>IF(CV$3=0,0,'OPEX'!$C$9)</f>
        <v/>
      </c>
      <c r="CW10" s="64">
        <f>IF(CW$3=0,0,'OPEX'!$C$9)</f>
        <v/>
      </c>
      <c r="CX10" s="64">
        <f>IF(CX$3=0,0,'OPEX'!$C$9)</f>
        <v/>
      </c>
      <c r="CY10" s="64">
        <f>IF(CY$3=0,0,'OPEX'!$C$9)</f>
        <v/>
      </c>
      <c r="CZ10" s="64">
        <f>IF(CZ$3=0,0,'OPEX'!$C$9)</f>
        <v/>
      </c>
      <c r="DA10" s="64">
        <f>IF(DA$3=0,0,'OPEX'!$C$9)</f>
        <v/>
      </c>
      <c r="DB10" s="64">
        <f>IF(DB$3=0,0,'OPEX'!$C$9)</f>
        <v/>
      </c>
      <c r="DC10" s="64">
        <f>IF(DC$3=0,0,'OPEX'!$C$9)</f>
        <v/>
      </c>
      <c r="DD10" s="64">
        <f>IF(DD$3=0,0,'OPEX'!$C$9)</f>
        <v/>
      </c>
      <c r="DE10" s="64">
        <f>IF(DE$3=0,0,'OPEX'!$C$9)</f>
        <v/>
      </c>
      <c r="DF10" s="64">
        <f>IF(DF$3=0,0,'OPEX'!$C$9)</f>
        <v/>
      </c>
      <c r="DG10" s="64">
        <f>IF(DG$3=0,0,'OPEX'!$C$9)</f>
        <v/>
      </c>
      <c r="DH10" s="64">
        <f>IF(DH$3=0,0,'OPEX'!$C$9)</f>
        <v/>
      </c>
      <c r="DI10" s="64">
        <f>IF(DI$3=0,0,'OPEX'!$C$9)</f>
        <v/>
      </c>
      <c r="DJ10" s="64">
        <f>IF(DJ$3=0,0,'OPEX'!$C$9)</f>
        <v/>
      </c>
      <c r="DK10" s="64">
        <f>IF(DK$3=0,0,'OPEX'!$C$9)</f>
        <v/>
      </c>
      <c r="DL10" s="64">
        <f>IF(DL$3=0,0,'OPEX'!$C$9)</f>
        <v/>
      </c>
      <c r="DM10" s="64">
        <f>IF(DM$3=0,0,'OPEX'!$C$9)</f>
        <v/>
      </c>
      <c r="DN10" s="64">
        <f>IF(DN$3=0,0,'OPEX'!$C$9)</f>
        <v/>
      </c>
      <c r="DO10" s="64">
        <f>IF(DO$3=0,0,'OPEX'!$C$9)</f>
        <v/>
      </c>
      <c r="DP10" s="64">
        <f>IF(DP$3=0,0,'OPEX'!$C$9)</f>
        <v/>
      </c>
      <c r="DQ10" s="64">
        <f>IF(DQ$3=0,0,'OPEX'!$C$9)</f>
        <v/>
      </c>
      <c r="DR10" s="64">
        <f>IF(DR$3=0,0,'OPEX'!$C$9)</f>
        <v/>
      </c>
      <c r="DS10" s="64">
        <f>IF(DS$3=0,0,'OPEX'!$C$9)</f>
        <v/>
      </c>
    </row>
    <row r="11">
      <c r="B11" s="22" t="inlineStr">
        <is>
          <t>نخالة الأرز (طن)</t>
        </is>
      </c>
      <c r="C11" s="64">
        <f>IF(C$3=0,0,'OPEX'!$C$10)</f>
        <v/>
      </c>
      <c r="D11" s="64">
        <f>IF(D$3=0,0,'OPEX'!$C$10)</f>
        <v/>
      </c>
      <c r="E11" s="64">
        <f>IF(E$3=0,0,'OPEX'!$C$10)</f>
        <v/>
      </c>
      <c r="F11" s="64">
        <f>IF(F$3=0,0,'OPEX'!$C$10)</f>
        <v/>
      </c>
      <c r="G11" s="64">
        <f>IF(G$3=0,0,'OPEX'!$C$10)</f>
        <v/>
      </c>
      <c r="H11" s="64">
        <f>IF(H$3=0,0,'OPEX'!$C$10)</f>
        <v/>
      </c>
      <c r="I11" s="64">
        <f>IF(I$3=0,0,'OPEX'!$C$10)</f>
        <v/>
      </c>
      <c r="J11" s="64">
        <f>IF(J$3=0,0,'OPEX'!$C$10)</f>
        <v/>
      </c>
      <c r="K11" s="64">
        <f>IF(K$3=0,0,'OPEX'!$C$10)</f>
        <v/>
      </c>
      <c r="L11" s="64">
        <f>IF(L$3=0,0,'OPEX'!$C$10)</f>
        <v/>
      </c>
      <c r="M11" s="64">
        <f>IF(M$3=0,0,'OPEX'!$C$10)</f>
        <v/>
      </c>
      <c r="N11" s="64">
        <f>IF(N$3=0,0,'OPEX'!$C$10)</f>
        <v/>
      </c>
      <c r="O11" s="64">
        <f>IF(O$3=0,0,'OPEX'!$C$10)</f>
        <v/>
      </c>
      <c r="P11" s="64">
        <f>IF(P$3=0,0,'OPEX'!$C$10)</f>
        <v/>
      </c>
      <c r="Q11" s="64">
        <f>IF(Q$3=0,0,'OPEX'!$C$10)</f>
        <v/>
      </c>
      <c r="R11" s="64">
        <f>IF(R$3=0,0,'OPEX'!$C$10)</f>
        <v/>
      </c>
      <c r="S11" s="64">
        <f>IF(S$3=0,0,'OPEX'!$C$10)</f>
        <v/>
      </c>
      <c r="T11" s="64">
        <f>IF(T$3=0,0,'OPEX'!$C$10)</f>
        <v/>
      </c>
      <c r="U11" s="64">
        <f>IF(U$3=0,0,'OPEX'!$C$10)</f>
        <v/>
      </c>
      <c r="V11" s="64">
        <f>IF(V$3=0,0,'OPEX'!$C$10)</f>
        <v/>
      </c>
      <c r="W11" s="64">
        <f>IF(W$3=0,0,'OPEX'!$C$10)</f>
        <v/>
      </c>
      <c r="X11" s="64">
        <f>IF(X$3=0,0,'OPEX'!$C$10)</f>
        <v/>
      </c>
      <c r="Y11" s="64">
        <f>IF(Y$3=0,0,'OPEX'!$C$10)</f>
        <v/>
      </c>
      <c r="Z11" s="64">
        <f>IF(Z$3=0,0,'OPEX'!$C$10)</f>
        <v/>
      </c>
      <c r="AA11" s="64">
        <f>IF(AA$3=0,0,'OPEX'!$C$10)</f>
        <v/>
      </c>
      <c r="AB11" s="64">
        <f>IF(AB$3=0,0,'OPEX'!$C$10)</f>
        <v/>
      </c>
      <c r="AC11" s="64">
        <f>IF(AC$3=0,0,'OPEX'!$C$10)</f>
        <v/>
      </c>
      <c r="AD11" s="64">
        <f>IF(AD$3=0,0,'OPEX'!$C$10)</f>
        <v/>
      </c>
      <c r="AE11" s="64">
        <f>IF(AE$3=0,0,'OPEX'!$C$10)</f>
        <v/>
      </c>
      <c r="AF11" s="64">
        <f>IF(AF$3=0,0,'OPEX'!$C$10)</f>
        <v/>
      </c>
      <c r="AG11" s="64">
        <f>IF(AG$3=0,0,'OPEX'!$C$10)</f>
        <v/>
      </c>
      <c r="AH11" s="64">
        <f>IF(AH$3=0,0,'OPEX'!$C$10)</f>
        <v/>
      </c>
      <c r="AI11" s="64">
        <f>IF(AI$3=0,0,'OPEX'!$C$10)</f>
        <v/>
      </c>
      <c r="AJ11" s="64">
        <f>IF(AJ$3=0,0,'OPEX'!$C$10)</f>
        <v/>
      </c>
      <c r="AK11" s="64">
        <f>IF(AK$3=0,0,'OPEX'!$C$10)</f>
        <v/>
      </c>
      <c r="AL11" s="64">
        <f>IF(AL$3=0,0,'OPEX'!$C$10)</f>
        <v/>
      </c>
      <c r="AM11" s="64">
        <f>IF(AM$3=0,0,'OPEX'!$C$10)</f>
        <v/>
      </c>
      <c r="AN11" s="64">
        <f>IF(AN$3=0,0,'OPEX'!$C$10)</f>
        <v/>
      </c>
      <c r="AO11" s="64">
        <f>IF(AO$3=0,0,'OPEX'!$C$10)</f>
        <v/>
      </c>
      <c r="AP11" s="64">
        <f>IF(AP$3=0,0,'OPEX'!$C$10)</f>
        <v/>
      </c>
      <c r="AQ11" s="64">
        <f>IF(AQ$3=0,0,'OPEX'!$C$10)</f>
        <v/>
      </c>
      <c r="AR11" s="64">
        <f>IF(AR$3=0,0,'OPEX'!$C$10)</f>
        <v/>
      </c>
      <c r="AS11" s="64">
        <f>IF(AS$3=0,0,'OPEX'!$C$10)</f>
        <v/>
      </c>
      <c r="AT11" s="64">
        <f>IF(AT$3=0,0,'OPEX'!$C$10)</f>
        <v/>
      </c>
      <c r="AU11" s="64">
        <f>IF(AU$3=0,0,'OPEX'!$C$10)</f>
        <v/>
      </c>
      <c r="AV11" s="64">
        <f>IF(AV$3=0,0,'OPEX'!$C$10)</f>
        <v/>
      </c>
      <c r="AW11" s="64">
        <f>IF(AW$3=0,0,'OPEX'!$C$10)</f>
        <v/>
      </c>
      <c r="AX11" s="64">
        <f>IF(AX$3=0,0,'OPEX'!$C$10)</f>
        <v/>
      </c>
      <c r="AY11" s="64">
        <f>IF(AY$3=0,0,'OPEX'!$C$10)</f>
        <v/>
      </c>
      <c r="AZ11" s="64">
        <f>IF(AZ$3=0,0,'OPEX'!$C$10)</f>
        <v/>
      </c>
      <c r="BA11" s="64">
        <f>IF(BA$3=0,0,'OPEX'!$C$10)</f>
        <v/>
      </c>
      <c r="BB11" s="64">
        <f>IF(BB$3=0,0,'OPEX'!$C$10)</f>
        <v/>
      </c>
      <c r="BC11" s="64">
        <f>IF(BC$3=0,0,'OPEX'!$C$10)</f>
        <v/>
      </c>
      <c r="BD11" s="64">
        <f>IF(BD$3=0,0,'OPEX'!$C$10)</f>
        <v/>
      </c>
      <c r="BE11" s="64">
        <f>IF(BE$3=0,0,'OPEX'!$C$10)</f>
        <v/>
      </c>
      <c r="BF11" s="64">
        <f>IF(BF$3=0,0,'OPEX'!$C$10)</f>
        <v/>
      </c>
      <c r="BG11" s="64">
        <f>IF(BG$3=0,0,'OPEX'!$C$10)</f>
        <v/>
      </c>
      <c r="BH11" s="64">
        <f>IF(BH$3=0,0,'OPEX'!$C$10)</f>
        <v/>
      </c>
      <c r="BI11" s="64">
        <f>IF(BI$3=0,0,'OPEX'!$C$10)</f>
        <v/>
      </c>
      <c r="BJ11" s="64">
        <f>IF(BJ$3=0,0,'OPEX'!$C$10)</f>
        <v/>
      </c>
      <c r="BK11" s="64">
        <f>IF(BK$3=0,0,'OPEX'!$C$10)</f>
        <v/>
      </c>
      <c r="BL11" s="64">
        <f>IF(BL$3=0,0,'OPEX'!$C$10)</f>
        <v/>
      </c>
      <c r="BM11" s="64">
        <f>IF(BM$3=0,0,'OPEX'!$C$10)</f>
        <v/>
      </c>
      <c r="BN11" s="64">
        <f>IF(BN$3=0,0,'OPEX'!$C$10)</f>
        <v/>
      </c>
      <c r="BO11" s="64">
        <f>IF(BO$3=0,0,'OPEX'!$C$10)</f>
        <v/>
      </c>
      <c r="BP11" s="64">
        <f>IF(BP$3=0,0,'OPEX'!$C$10)</f>
        <v/>
      </c>
      <c r="BQ11" s="64">
        <f>IF(BQ$3=0,0,'OPEX'!$C$10)</f>
        <v/>
      </c>
      <c r="BR11" s="64">
        <f>IF(BR$3=0,0,'OPEX'!$C$10)</f>
        <v/>
      </c>
      <c r="BS11" s="64">
        <f>IF(BS$3=0,0,'OPEX'!$C$10)</f>
        <v/>
      </c>
      <c r="BT11" s="64">
        <f>IF(BT$3=0,0,'OPEX'!$C$10)</f>
        <v/>
      </c>
      <c r="BU11" s="64">
        <f>IF(BU$3=0,0,'OPEX'!$C$10)</f>
        <v/>
      </c>
      <c r="BV11" s="64">
        <f>IF(BV$3=0,0,'OPEX'!$C$10)</f>
        <v/>
      </c>
      <c r="BW11" s="64">
        <f>IF(BW$3=0,0,'OPEX'!$C$10)</f>
        <v/>
      </c>
      <c r="BX11" s="64">
        <f>IF(BX$3=0,0,'OPEX'!$C$10)</f>
        <v/>
      </c>
      <c r="BY11" s="64">
        <f>IF(BY$3=0,0,'OPEX'!$C$10)</f>
        <v/>
      </c>
      <c r="BZ11" s="64">
        <f>IF(BZ$3=0,0,'OPEX'!$C$10)</f>
        <v/>
      </c>
      <c r="CA11" s="64">
        <f>IF(CA$3=0,0,'OPEX'!$C$10)</f>
        <v/>
      </c>
      <c r="CB11" s="64">
        <f>IF(CB$3=0,0,'OPEX'!$C$10)</f>
        <v/>
      </c>
      <c r="CC11" s="64">
        <f>IF(CC$3=0,0,'OPEX'!$C$10)</f>
        <v/>
      </c>
      <c r="CD11" s="64">
        <f>IF(CD$3=0,0,'OPEX'!$C$10)</f>
        <v/>
      </c>
      <c r="CE11" s="64">
        <f>IF(CE$3=0,0,'OPEX'!$C$10)</f>
        <v/>
      </c>
      <c r="CF11" s="64">
        <f>IF(CF$3=0,0,'OPEX'!$C$10)</f>
        <v/>
      </c>
      <c r="CG11" s="64">
        <f>IF(CG$3=0,0,'OPEX'!$C$10)</f>
        <v/>
      </c>
      <c r="CH11" s="64">
        <f>IF(CH$3=0,0,'OPEX'!$C$10)</f>
        <v/>
      </c>
      <c r="CI11" s="64">
        <f>IF(CI$3=0,0,'OPEX'!$C$10)</f>
        <v/>
      </c>
      <c r="CJ11" s="64">
        <f>IF(CJ$3=0,0,'OPEX'!$C$10)</f>
        <v/>
      </c>
      <c r="CK11" s="64">
        <f>IF(CK$3=0,0,'OPEX'!$C$10)</f>
        <v/>
      </c>
      <c r="CL11" s="64">
        <f>IF(CL$3=0,0,'OPEX'!$C$10)</f>
        <v/>
      </c>
      <c r="CM11" s="64">
        <f>IF(CM$3=0,0,'OPEX'!$C$10)</f>
        <v/>
      </c>
      <c r="CN11" s="64">
        <f>IF(CN$3=0,0,'OPEX'!$C$10)</f>
        <v/>
      </c>
      <c r="CO11" s="64">
        <f>IF(CO$3=0,0,'OPEX'!$C$10)</f>
        <v/>
      </c>
      <c r="CP11" s="64">
        <f>IF(CP$3=0,0,'OPEX'!$C$10)</f>
        <v/>
      </c>
      <c r="CQ11" s="64">
        <f>IF(CQ$3=0,0,'OPEX'!$C$10)</f>
        <v/>
      </c>
      <c r="CR11" s="64">
        <f>IF(CR$3=0,0,'OPEX'!$C$10)</f>
        <v/>
      </c>
      <c r="CS11" s="64">
        <f>IF(CS$3=0,0,'OPEX'!$C$10)</f>
        <v/>
      </c>
      <c r="CT11" s="64">
        <f>IF(CT$3=0,0,'OPEX'!$C$10)</f>
        <v/>
      </c>
      <c r="CU11" s="64">
        <f>IF(CU$3=0,0,'OPEX'!$C$10)</f>
        <v/>
      </c>
      <c r="CV11" s="64">
        <f>IF(CV$3=0,0,'OPEX'!$C$10)</f>
        <v/>
      </c>
      <c r="CW11" s="64">
        <f>IF(CW$3=0,0,'OPEX'!$C$10)</f>
        <v/>
      </c>
      <c r="CX11" s="64">
        <f>IF(CX$3=0,0,'OPEX'!$C$10)</f>
        <v/>
      </c>
      <c r="CY11" s="64">
        <f>IF(CY$3=0,0,'OPEX'!$C$10)</f>
        <v/>
      </c>
      <c r="CZ11" s="64">
        <f>IF(CZ$3=0,0,'OPEX'!$C$10)</f>
        <v/>
      </c>
      <c r="DA11" s="64">
        <f>IF(DA$3=0,0,'OPEX'!$C$10)</f>
        <v/>
      </c>
      <c r="DB11" s="64">
        <f>IF(DB$3=0,0,'OPEX'!$C$10)</f>
        <v/>
      </c>
      <c r="DC11" s="64">
        <f>IF(DC$3=0,0,'OPEX'!$C$10)</f>
        <v/>
      </c>
      <c r="DD11" s="64">
        <f>IF(DD$3=0,0,'OPEX'!$C$10)</f>
        <v/>
      </c>
      <c r="DE11" s="64">
        <f>IF(DE$3=0,0,'OPEX'!$C$10)</f>
        <v/>
      </c>
      <c r="DF11" s="64">
        <f>IF(DF$3=0,0,'OPEX'!$C$10)</f>
        <v/>
      </c>
      <c r="DG11" s="64">
        <f>IF(DG$3=0,0,'OPEX'!$C$10)</f>
        <v/>
      </c>
      <c r="DH11" s="64">
        <f>IF(DH$3=0,0,'OPEX'!$C$10)</f>
        <v/>
      </c>
      <c r="DI11" s="64">
        <f>IF(DI$3=0,0,'OPEX'!$C$10)</f>
        <v/>
      </c>
      <c r="DJ11" s="64">
        <f>IF(DJ$3=0,0,'OPEX'!$C$10)</f>
        <v/>
      </c>
      <c r="DK11" s="64">
        <f>IF(DK$3=0,0,'OPEX'!$C$10)</f>
        <v/>
      </c>
      <c r="DL11" s="64">
        <f>IF(DL$3=0,0,'OPEX'!$C$10)</f>
        <v/>
      </c>
      <c r="DM11" s="64">
        <f>IF(DM$3=0,0,'OPEX'!$C$10)</f>
        <v/>
      </c>
      <c r="DN11" s="64">
        <f>IF(DN$3=0,0,'OPEX'!$C$10)</f>
        <v/>
      </c>
      <c r="DO11" s="64">
        <f>IF(DO$3=0,0,'OPEX'!$C$10)</f>
        <v/>
      </c>
      <c r="DP11" s="64">
        <f>IF(DP$3=0,0,'OPEX'!$C$10)</f>
        <v/>
      </c>
      <c r="DQ11" s="64">
        <f>IF(DQ$3=0,0,'OPEX'!$C$10)</f>
        <v/>
      </c>
      <c r="DR11" s="64">
        <f>IF(DR$3=0,0,'OPEX'!$C$10)</f>
        <v/>
      </c>
      <c r="DS11" s="64">
        <f>IF(DS$3=0,0,'OPEX'!$C$10)</f>
        <v/>
      </c>
    </row>
    <row r="12">
      <c r="B12" s="22" t="inlineStr">
        <is>
          <t>السرس (طن)</t>
        </is>
      </c>
      <c r="C12" s="64">
        <f>IF(C$3=0,0,'OPEX'!$C$11)</f>
        <v/>
      </c>
      <c r="D12" s="64">
        <f>IF(D$3=0,0,'OPEX'!$C$11)</f>
        <v/>
      </c>
      <c r="E12" s="64">
        <f>IF(E$3=0,0,'OPEX'!$C$11)</f>
        <v/>
      </c>
      <c r="F12" s="64">
        <f>IF(F$3=0,0,'OPEX'!$C$11)</f>
        <v/>
      </c>
      <c r="G12" s="64">
        <f>IF(G$3=0,0,'OPEX'!$C$11)</f>
        <v/>
      </c>
      <c r="H12" s="64">
        <f>IF(H$3=0,0,'OPEX'!$C$11)</f>
        <v/>
      </c>
      <c r="I12" s="64">
        <f>IF(I$3=0,0,'OPEX'!$C$11)</f>
        <v/>
      </c>
      <c r="J12" s="64">
        <f>IF(J$3=0,0,'OPEX'!$C$11)</f>
        <v/>
      </c>
      <c r="K12" s="64">
        <f>IF(K$3=0,0,'OPEX'!$C$11)</f>
        <v/>
      </c>
      <c r="L12" s="64">
        <f>IF(L$3=0,0,'OPEX'!$C$11)</f>
        <v/>
      </c>
      <c r="M12" s="64">
        <f>IF(M$3=0,0,'OPEX'!$C$11)</f>
        <v/>
      </c>
      <c r="N12" s="64">
        <f>IF(N$3=0,0,'OPEX'!$C$11)</f>
        <v/>
      </c>
      <c r="O12" s="64">
        <f>IF(O$3=0,0,'OPEX'!$C$11)</f>
        <v/>
      </c>
      <c r="P12" s="64">
        <f>IF(P$3=0,0,'OPEX'!$C$11)</f>
        <v/>
      </c>
      <c r="Q12" s="64">
        <f>IF(Q$3=0,0,'OPEX'!$C$11)</f>
        <v/>
      </c>
      <c r="R12" s="64">
        <f>IF(R$3=0,0,'OPEX'!$C$11)</f>
        <v/>
      </c>
      <c r="S12" s="64">
        <f>IF(S$3=0,0,'OPEX'!$C$11)</f>
        <v/>
      </c>
      <c r="T12" s="64">
        <f>IF(T$3=0,0,'OPEX'!$C$11)</f>
        <v/>
      </c>
      <c r="U12" s="64">
        <f>IF(U$3=0,0,'OPEX'!$C$11)</f>
        <v/>
      </c>
      <c r="V12" s="64">
        <f>IF(V$3=0,0,'OPEX'!$C$11)</f>
        <v/>
      </c>
      <c r="W12" s="64">
        <f>IF(W$3=0,0,'OPEX'!$C$11)</f>
        <v/>
      </c>
      <c r="X12" s="64">
        <f>IF(X$3=0,0,'OPEX'!$C$11)</f>
        <v/>
      </c>
      <c r="Y12" s="64">
        <f>IF(Y$3=0,0,'OPEX'!$C$11)</f>
        <v/>
      </c>
      <c r="Z12" s="64">
        <f>IF(Z$3=0,0,'OPEX'!$C$11)</f>
        <v/>
      </c>
      <c r="AA12" s="64">
        <f>IF(AA$3=0,0,'OPEX'!$C$11)</f>
        <v/>
      </c>
      <c r="AB12" s="64">
        <f>IF(AB$3=0,0,'OPEX'!$C$11)</f>
        <v/>
      </c>
      <c r="AC12" s="64">
        <f>IF(AC$3=0,0,'OPEX'!$C$11)</f>
        <v/>
      </c>
      <c r="AD12" s="64">
        <f>IF(AD$3=0,0,'OPEX'!$C$11)</f>
        <v/>
      </c>
      <c r="AE12" s="64">
        <f>IF(AE$3=0,0,'OPEX'!$C$11)</f>
        <v/>
      </c>
      <c r="AF12" s="64">
        <f>IF(AF$3=0,0,'OPEX'!$C$11)</f>
        <v/>
      </c>
      <c r="AG12" s="64">
        <f>IF(AG$3=0,0,'OPEX'!$C$11)</f>
        <v/>
      </c>
      <c r="AH12" s="64">
        <f>IF(AH$3=0,0,'OPEX'!$C$11)</f>
        <v/>
      </c>
      <c r="AI12" s="64">
        <f>IF(AI$3=0,0,'OPEX'!$C$11)</f>
        <v/>
      </c>
      <c r="AJ12" s="64">
        <f>IF(AJ$3=0,0,'OPEX'!$C$11)</f>
        <v/>
      </c>
      <c r="AK12" s="64">
        <f>IF(AK$3=0,0,'OPEX'!$C$11)</f>
        <v/>
      </c>
      <c r="AL12" s="64">
        <f>IF(AL$3=0,0,'OPEX'!$C$11)</f>
        <v/>
      </c>
      <c r="AM12" s="64">
        <f>IF(AM$3=0,0,'OPEX'!$C$11)</f>
        <v/>
      </c>
      <c r="AN12" s="64">
        <f>IF(AN$3=0,0,'OPEX'!$C$11)</f>
        <v/>
      </c>
      <c r="AO12" s="64">
        <f>IF(AO$3=0,0,'OPEX'!$C$11)</f>
        <v/>
      </c>
      <c r="AP12" s="64">
        <f>IF(AP$3=0,0,'OPEX'!$C$11)</f>
        <v/>
      </c>
      <c r="AQ12" s="64">
        <f>IF(AQ$3=0,0,'OPEX'!$C$11)</f>
        <v/>
      </c>
      <c r="AR12" s="64">
        <f>IF(AR$3=0,0,'OPEX'!$C$11)</f>
        <v/>
      </c>
      <c r="AS12" s="64">
        <f>IF(AS$3=0,0,'OPEX'!$C$11)</f>
        <v/>
      </c>
      <c r="AT12" s="64">
        <f>IF(AT$3=0,0,'OPEX'!$C$11)</f>
        <v/>
      </c>
      <c r="AU12" s="64">
        <f>IF(AU$3=0,0,'OPEX'!$C$11)</f>
        <v/>
      </c>
      <c r="AV12" s="64">
        <f>IF(AV$3=0,0,'OPEX'!$C$11)</f>
        <v/>
      </c>
      <c r="AW12" s="64">
        <f>IF(AW$3=0,0,'OPEX'!$C$11)</f>
        <v/>
      </c>
      <c r="AX12" s="64">
        <f>IF(AX$3=0,0,'OPEX'!$C$11)</f>
        <v/>
      </c>
      <c r="AY12" s="64">
        <f>IF(AY$3=0,0,'OPEX'!$C$11)</f>
        <v/>
      </c>
      <c r="AZ12" s="64">
        <f>IF(AZ$3=0,0,'OPEX'!$C$11)</f>
        <v/>
      </c>
      <c r="BA12" s="64">
        <f>IF(BA$3=0,0,'OPEX'!$C$11)</f>
        <v/>
      </c>
      <c r="BB12" s="64">
        <f>IF(BB$3=0,0,'OPEX'!$C$11)</f>
        <v/>
      </c>
      <c r="BC12" s="64">
        <f>IF(BC$3=0,0,'OPEX'!$C$11)</f>
        <v/>
      </c>
      <c r="BD12" s="64">
        <f>IF(BD$3=0,0,'OPEX'!$C$11)</f>
        <v/>
      </c>
      <c r="BE12" s="64">
        <f>IF(BE$3=0,0,'OPEX'!$C$11)</f>
        <v/>
      </c>
      <c r="BF12" s="64">
        <f>IF(BF$3=0,0,'OPEX'!$C$11)</f>
        <v/>
      </c>
      <c r="BG12" s="64">
        <f>IF(BG$3=0,0,'OPEX'!$C$11)</f>
        <v/>
      </c>
      <c r="BH12" s="64">
        <f>IF(BH$3=0,0,'OPEX'!$C$11)</f>
        <v/>
      </c>
      <c r="BI12" s="64">
        <f>IF(BI$3=0,0,'OPEX'!$C$11)</f>
        <v/>
      </c>
      <c r="BJ12" s="64">
        <f>IF(BJ$3=0,0,'OPEX'!$C$11)</f>
        <v/>
      </c>
      <c r="BK12" s="64">
        <f>IF(BK$3=0,0,'OPEX'!$C$11)</f>
        <v/>
      </c>
      <c r="BL12" s="64">
        <f>IF(BL$3=0,0,'OPEX'!$C$11)</f>
        <v/>
      </c>
      <c r="BM12" s="64">
        <f>IF(BM$3=0,0,'OPEX'!$C$11)</f>
        <v/>
      </c>
      <c r="BN12" s="64">
        <f>IF(BN$3=0,0,'OPEX'!$C$11)</f>
        <v/>
      </c>
      <c r="BO12" s="64">
        <f>IF(BO$3=0,0,'OPEX'!$C$11)</f>
        <v/>
      </c>
      <c r="BP12" s="64">
        <f>IF(BP$3=0,0,'OPEX'!$C$11)</f>
        <v/>
      </c>
      <c r="BQ12" s="64">
        <f>IF(BQ$3=0,0,'OPEX'!$C$11)</f>
        <v/>
      </c>
      <c r="BR12" s="64">
        <f>IF(BR$3=0,0,'OPEX'!$C$11)</f>
        <v/>
      </c>
      <c r="BS12" s="64">
        <f>IF(BS$3=0,0,'OPEX'!$C$11)</f>
        <v/>
      </c>
      <c r="BT12" s="64">
        <f>IF(BT$3=0,0,'OPEX'!$C$11)</f>
        <v/>
      </c>
      <c r="BU12" s="64">
        <f>IF(BU$3=0,0,'OPEX'!$C$11)</f>
        <v/>
      </c>
      <c r="BV12" s="64">
        <f>IF(BV$3=0,0,'OPEX'!$C$11)</f>
        <v/>
      </c>
      <c r="BW12" s="64">
        <f>IF(BW$3=0,0,'OPEX'!$C$11)</f>
        <v/>
      </c>
      <c r="BX12" s="64">
        <f>IF(BX$3=0,0,'OPEX'!$C$11)</f>
        <v/>
      </c>
      <c r="BY12" s="64">
        <f>IF(BY$3=0,0,'OPEX'!$C$11)</f>
        <v/>
      </c>
      <c r="BZ12" s="64">
        <f>IF(BZ$3=0,0,'OPEX'!$C$11)</f>
        <v/>
      </c>
      <c r="CA12" s="64">
        <f>IF(CA$3=0,0,'OPEX'!$C$11)</f>
        <v/>
      </c>
      <c r="CB12" s="64">
        <f>IF(CB$3=0,0,'OPEX'!$C$11)</f>
        <v/>
      </c>
      <c r="CC12" s="64">
        <f>IF(CC$3=0,0,'OPEX'!$C$11)</f>
        <v/>
      </c>
      <c r="CD12" s="64">
        <f>IF(CD$3=0,0,'OPEX'!$C$11)</f>
        <v/>
      </c>
      <c r="CE12" s="64">
        <f>IF(CE$3=0,0,'OPEX'!$C$11)</f>
        <v/>
      </c>
      <c r="CF12" s="64">
        <f>IF(CF$3=0,0,'OPEX'!$C$11)</f>
        <v/>
      </c>
      <c r="CG12" s="64">
        <f>IF(CG$3=0,0,'OPEX'!$C$11)</f>
        <v/>
      </c>
      <c r="CH12" s="64">
        <f>IF(CH$3=0,0,'OPEX'!$C$11)</f>
        <v/>
      </c>
      <c r="CI12" s="64">
        <f>IF(CI$3=0,0,'OPEX'!$C$11)</f>
        <v/>
      </c>
      <c r="CJ12" s="64">
        <f>IF(CJ$3=0,0,'OPEX'!$C$11)</f>
        <v/>
      </c>
      <c r="CK12" s="64">
        <f>IF(CK$3=0,0,'OPEX'!$C$11)</f>
        <v/>
      </c>
      <c r="CL12" s="64">
        <f>IF(CL$3=0,0,'OPEX'!$C$11)</f>
        <v/>
      </c>
      <c r="CM12" s="64">
        <f>IF(CM$3=0,0,'OPEX'!$C$11)</f>
        <v/>
      </c>
      <c r="CN12" s="64">
        <f>IF(CN$3=0,0,'OPEX'!$C$11)</f>
        <v/>
      </c>
      <c r="CO12" s="64">
        <f>IF(CO$3=0,0,'OPEX'!$C$11)</f>
        <v/>
      </c>
      <c r="CP12" s="64">
        <f>IF(CP$3=0,0,'OPEX'!$C$11)</f>
        <v/>
      </c>
      <c r="CQ12" s="64">
        <f>IF(CQ$3=0,0,'OPEX'!$C$11)</f>
        <v/>
      </c>
      <c r="CR12" s="64">
        <f>IF(CR$3=0,0,'OPEX'!$C$11)</f>
        <v/>
      </c>
      <c r="CS12" s="64">
        <f>IF(CS$3=0,0,'OPEX'!$C$11)</f>
        <v/>
      </c>
      <c r="CT12" s="64">
        <f>IF(CT$3=0,0,'OPEX'!$C$11)</f>
        <v/>
      </c>
      <c r="CU12" s="64">
        <f>IF(CU$3=0,0,'OPEX'!$C$11)</f>
        <v/>
      </c>
      <c r="CV12" s="64">
        <f>IF(CV$3=0,0,'OPEX'!$C$11)</f>
        <v/>
      </c>
      <c r="CW12" s="64">
        <f>IF(CW$3=0,0,'OPEX'!$C$11)</f>
        <v/>
      </c>
      <c r="CX12" s="64">
        <f>IF(CX$3=0,0,'OPEX'!$C$11)</f>
        <v/>
      </c>
      <c r="CY12" s="64">
        <f>IF(CY$3=0,0,'OPEX'!$C$11)</f>
        <v/>
      </c>
      <c r="CZ12" s="64">
        <f>IF(CZ$3=0,0,'OPEX'!$C$11)</f>
        <v/>
      </c>
      <c r="DA12" s="64">
        <f>IF(DA$3=0,0,'OPEX'!$C$11)</f>
        <v/>
      </c>
      <c r="DB12" s="64">
        <f>IF(DB$3=0,0,'OPEX'!$C$11)</f>
        <v/>
      </c>
      <c r="DC12" s="64">
        <f>IF(DC$3=0,0,'OPEX'!$C$11)</f>
        <v/>
      </c>
      <c r="DD12" s="64">
        <f>IF(DD$3=0,0,'OPEX'!$C$11)</f>
        <v/>
      </c>
      <c r="DE12" s="64">
        <f>IF(DE$3=0,0,'OPEX'!$C$11)</f>
        <v/>
      </c>
      <c r="DF12" s="64">
        <f>IF(DF$3=0,0,'OPEX'!$C$11)</f>
        <v/>
      </c>
      <c r="DG12" s="64">
        <f>IF(DG$3=0,0,'OPEX'!$C$11)</f>
        <v/>
      </c>
      <c r="DH12" s="64">
        <f>IF(DH$3=0,0,'OPEX'!$C$11)</f>
        <v/>
      </c>
      <c r="DI12" s="64">
        <f>IF(DI$3=0,0,'OPEX'!$C$11)</f>
        <v/>
      </c>
      <c r="DJ12" s="64">
        <f>IF(DJ$3=0,0,'OPEX'!$C$11)</f>
        <v/>
      </c>
      <c r="DK12" s="64">
        <f>IF(DK$3=0,0,'OPEX'!$C$11)</f>
        <v/>
      </c>
      <c r="DL12" s="64">
        <f>IF(DL$3=0,0,'OPEX'!$C$11)</f>
        <v/>
      </c>
      <c r="DM12" s="64">
        <f>IF(DM$3=0,0,'OPEX'!$C$11)</f>
        <v/>
      </c>
      <c r="DN12" s="64">
        <f>IF(DN$3=0,0,'OPEX'!$C$11)</f>
        <v/>
      </c>
      <c r="DO12" s="64">
        <f>IF(DO$3=0,0,'OPEX'!$C$11)</f>
        <v/>
      </c>
      <c r="DP12" s="64">
        <f>IF(DP$3=0,0,'OPEX'!$C$11)</f>
        <v/>
      </c>
      <c r="DQ12" s="64">
        <f>IF(DQ$3=0,0,'OPEX'!$C$11)</f>
        <v/>
      </c>
      <c r="DR12" s="64">
        <f>IF(DR$3=0,0,'OPEX'!$C$11)</f>
        <v/>
      </c>
      <c r="DS12" s="64">
        <f>IF(DS$3=0,0,'OPEX'!$C$11)</f>
        <v/>
      </c>
    </row>
    <row r="13">
      <c r="B13" s="22" t="inlineStr">
        <is>
          <t>العلف الجاهز (طن)</t>
        </is>
      </c>
      <c r="C13" s="64">
        <f>IF(C$3=0,0,'OPEX'!$C$12)</f>
        <v/>
      </c>
      <c r="D13" s="64">
        <f>IF(D$3=0,0,'OPEX'!$C$12)</f>
        <v/>
      </c>
      <c r="E13" s="64">
        <f>IF(E$3=0,0,'OPEX'!$C$12)</f>
        <v/>
      </c>
      <c r="F13" s="64">
        <f>IF(F$3=0,0,'OPEX'!$C$12)</f>
        <v/>
      </c>
      <c r="G13" s="64">
        <f>IF(G$3=0,0,'OPEX'!$C$12)</f>
        <v/>
      </c>
      <c r="H13" s="64">
        <f>IF(H$3=0,0,'OPEX'!$C$12)</f>
        <v/>
      </c>
      <c r="I13" s="64">
        <f>IF(I$3=0,0,'OPEX'!$C$12)</f>
        <v/>
      </c>
      <c r="J13" s="64">
        <f>IF(J$3=0,0,'OPEX'!$C$12)</f>
        <v/>
      </c>
      <c r="K13" s="64">
        <f>IF(K$3=0,0,'OPEX'!$C$12)</f>
        <v/>
      </c>
      <c r="L13" s="64">
        <f>IF(L$3=0,0,'OPEX'!$C$12)</f>
        <v/>
      </c>
      <c r="M13" s="64">
        <f>IF(M$3=0,0,'OPEX'!$C$12)</f>
        <v/>
      </c>
      <c r="N13" s="64">
        <f>IF(N$3=0,0,'OPEX'!$C$12)</f>
        <v/>
      </c>
      <c r="O13" s="64">
        <f>IF(O$3=0,0,'OPEX'!$C$12)</f>
        <v/>
      </c>
      <c r="P13" s="64">
        <f>IF(P$3=0,0,'OPEX'!$C$12)</f>
        <v/>
      </c>
      <c r="Q13" s="64">
        <f>IF(Q$3=0,0,'OPEX'!$C$12)</f>
        <v/>
      </c>
      <c r="R13" s="64">
        <f>IF(R$3=0,0,'OPEX'!$C$12)</f>
        <v/>
      </c>
      <c r="S13" s="64">
        <f>IF(S$3=0,0,'OPEX'!$C$12)</f>
        <v/>
      </c>
      <c r="T13" s="64">
        <f>IF(T$3=0,0,'OPEX'!$C$12)</f>
        <v/>
      </c>
      <c r="U13" s="64">
        <f>IF(U$3=0,0,'OPEX'!$C$12)</f>
        <v/>
      </c>
      <c r="V13" s="64">
        <f>IF(V$3=0,0,'OPEX'!$C$12)</f>
        <v/>
      </c>
      <c r="W13" s="64">
        <f>IF(W$3=0,0,'OPEX'!$C$12)</f>
        <v/>
      </c>
      <c r="X13" s="64">
        <f>IF(X$3=0,0,'OPEX'!$C$12)</f>
        <v/>
      </c>
      <c r="Y13" s="64">
        <f>IF(Y$3=0,0,'OPEX'!$C$12)</f>
        <v/>
      </c>
      <c r="Z13" s="64">
        <f>IF(Z$3=0,0,'OPEX'!$C$12)</f>
        <v/>
      </c>
      <c r="AA13" s="64">
        <f>IF(AA$3=0,0,'OPEX'!$C$12)</f>
        <v/>
      </c>
      <c r="AB13" s="64">
        <f>IF(AB$3=0,0,'OPEX'!$C$12)</f>
        <v/>
      </c>
      <c r="AC13" s="64">
        <f>IF(AC$3=0,0,'OPEX'!$C$12)</f>
        <v/>
      </c>
      <c r="AD13" s="64">
        <f>IF(AD$3=0,0,'OPEX'!$C$12)</f>
        <v/>
      </c>
      <c r="AE13" s="64">
        <f>IF(AE$3=0,0,'OPEX'!$C$12)</f>
        <v/>
      </c>
      <c r="AF13" s="64">
        <f>IF(AF$3=0,0,'OPEX'!$C$12)</f>
        <v/>
      </c>
      <c r="AG13" s="64">
        <f>IF(AG$3=0,0,'OPEX'!$C$12)</f>
        <v/>
      </c>
      <c r="AH13" s="64">
        <f>IF(AH$3=0,0,'OPEX'!$C$12)</f>
        <v/>
      </c>
      <c r="AI13" s="64">
        <f>IF(AI$3=0,0,'OPEX'!$C$12)</f>
        <v/>
      </c>
      <c r="AJ13" s="64">
        <f>IF(AJ$3=0,0,'OPEX'!$C$12)</f>
        <v/>
      </c>
      <c r="AK13" s="64">
        <f>IF(AK$3=0,0,'OPEX'!$C$12)</f>
        <v/>
      </c>
      <c r="AL13" s="64">
        <f>IF(AL$3=0,0,'OPEX'!$C$12)</f>
        <v/>
      </c>
      <c r="AM13" s="64">
        <f>IF(AM$3=0,0,'OPEX'!$C$12)</f>
        <v/>
      </c>
      <c r="AN13" s="64">
        <f>IF(AN$3=0,0,'OPEX'!$C$12)</f>
        <v/>
      </c>
      <c r="AO13" s="64">
        <f>IF(AO$3=0,0,'OPEX'!$C$12)</f>
        <v/>
      </c>
      <c r="AP13" s="64">
        <f>IF(AP$3=0,0,'OPEX'!$C$12)</f>
        <v/>
      </c>
      <c r="AQ13" s="64">
        <f>IF(AQ$3=0,0,'OPEX'!$C$12)</f>
        <v/>
      </c>
      <c r="AR13" s="64">
        <f>IF(AR$3=0,0,'OPEX'!$C$12)</f>
        <v/>
      </c>
      <c r="AS13" s="64">
        <f>IF(AS$3=0,0,'OPEX'!$C$12)</f>
        <v/>
      </c>
      <c r="AT13" s="64">
        <f>IF(AT$3=0,0,'OPEX'!$C$12)</f>
        <v/>
      </c>
      <c r="AU13" s="64">
        <f>IF(AU$3=0,0,'OPEX'!$C$12)</f>
        <v/>
      </c>
      <c r="AV13" s="64">
        <f>IF(AV$3=0,0,'OPEX'!$C$12)</f>
        <v/>
      </c>
      <c r="AW13" s="64">
        <f>IF(AW$3=0,0,'OPEX'!$C$12)</f>
        <v/>
      </c>
      <c r="AX13" s="64">
        <f>IF(AX$3=0,0,'OPEX'!$C$12)</f>
        <v/>
      </c>
      <c r="AY13" s="64">
        <f>IF(AY$3=0,0,'OPEX'!$C$12)</f>
        <v/>
      </c>
      <c r="AZ13" s="64">
        <f>IF(AZ$3=0,0,'OPEX'!$C$12)</f>
        <v/>
      </c>
      <c r="BA13" s="64">
        <f>IF(BA$3=0,0,'OPEX'!$C$12)</f>
        <v/>
      </c>
      <c r="BB13" s="64">
        <f>IF(BB$3=0,0,'OPEX'!$C$12)</f>
        <v/>
      </c>
      <c r="BC13" s="64">
        <f>IF(BC$3=0,0,'OPEX'!$C$12)</f>
        <v/>
      </c>
      <c r="BD13" s="64">
        <f>IF(BD$3=0,0,'OPEX'!$C$12)</f>
        <v/>
      </c>
      <c r="BE13" s="64">
        <f>IF(BE$3=0,0,'OPEX'!$C$12)</f>
        <v/>
      </c>
      <c r="BF13" s="64">
        <f>IF(BF$3=0,0,'OPEX'!$C$12)</f>
        <v/>
      </c>
      <c r="BG13" s="64">
        <f>IF(BG$3=0,0,'OPEX'!$C$12)</f>
        <v/>
      </c>
      <c r="BH13" s="64">
        <f>IF(BH$3=0,0,'OPEX'!$C$12)</f>
        <v/>
      </c>
      <c r="BI13" s="64">
        <f>IF(BI$3=0,0,'OPEX'!$C$12)</f>
        <v/>
      </c>
      <c r="BJ13" s="64">
        <f>IF(BJ$3=0,0,'OPEX'!$C$12)</f>
        <v/>
      </c>
      <c r="BK13" s="64">
        <f>IF(BK$3=0,0,'OPEX'!$C$12)</f>
        <v/>
      </c>
      <c r="BL13" s="64">
        <f>IF(BL$3=0,0,'OPEX'!$C$12)</f>
        <v/>
      </c>
      <c r="BM13" s="64">
        <f>IF(BM$3=0,0,'OPEX'!$C$12)</f>
        <v/>
      </c>
      <c r="BN13" s="64">
        <f>IF(BN$3=0,0,'OPEX'!$C$12)</f>
        <v/>
      </c>
      <c r="BO13" s="64">
        <f>IF(BO$3=0,0,'OPEX'!$C$12)</f>
        <v/>
      </c>
      <c r="BP13" s="64">
        <f>IF(BP$3=0,0,'OPEX'!$C$12)</f>
        <v/>
      </c>
      <c r="BQ13" s="64">
        <f>IF(BQ$3=0,0,'OPEX'!$C$12)</f>
        <v/>
      </c>
      <c r="BR13" s="64">
        <f>IF(BR$3=0,0,'OPEX'!$C$12)</f>
        <v/>
      </c>
      <c r="BS13" s="64">
        <f>IF(BS$3=0,0,'OPEX'!$C$12)</f>
        <v/>
      </c>
      <c r="BT13" s="64">
        <f>IF(BT$3=0,0,'OPEX'!$C$12)</f>
        <v/>
      </c>
      <c r="BU13" s="64">
        <f>IF(BU$3=0,0,'OPEX'!$C$12)</f>
        <v/>
      </c>
      <c r="BV13" s="64">
        <f>IF(BV$3=0,0,'OPEX'!$C$12)</f>
        <v/>
      </c>
      <c r="BW13" s="64">
        <f>IF(BW$3=0,0,'OPEX'!$C$12)</f>
        <v/>
      </c>
      <c r="BX13" s="64">
        <f>IF(BX$3=0,0,'OPEX'!$C$12)</f>
        <v/>
      </c>
      <c r="BY13" s="64">
        <f>IF(BY$3=0,0,'OPEX'!$C$12)</f>
        <v/>
      </c>
      <c r="BZ13" s="64">
        <f>IF(BZ$3=0,0,'OPEX'!$C$12)</f>
        <v/>
      </c>
      <c r="CA13" s="64">
        <f>IF(CA$3=0,0,'OPEX'!$C$12)</f>
        <v/>
      </c>
      <c r="CB13" s="64">
        <f>IF(CB$3=0,0,'OPEX'!$C$12)</f>
        <v/>
      </c>
      <c r="CC13" s="64">
        <f>IF(CC$3=0,0,'OPEX'!$C$12)</f>
        <v/>
      </c>
      <c r="CD13" s="64">
        <f>IF(CD$3=0,0,'OPEX'!$C$12)</f>
        <v/>
      </c>
      <c r="CE13" s="64">
        <f>IF(CE$3=0,0,'OPEX'!$C$12)</f>
        <v/>
      </c>
      <c r="CF13" s="64">
        <f>IF(CF$3=0,0,'OPEX'!$C$12)</f>
        <v/>
      </c>
      <c r="CG13" s="64">
        <f>IF(CG$3=0,0,'OPEX'!$C$12)</f>
        <v/>
      </c>
      <c r="CH13" s="64">
        <f>IF(CH$3=0,0,'OPEX'!$C$12)</f>
        <v/>
      </c>
      <c r="CI13" s="64">
        <f>IF(CI$3=0,0,'OPEX'!$C$12)</f>
        <v/>
      </c>
      <c r="CJ13" s="64">
        <f>IF(CJ$3=0,0,'OPEX'!$C$12)</f>
        <v/>
      </c>
      <c r="CK13" s="64">
        <f>IF(CK$3=0,0,'OPEX'!$C$12)</f>
        <v/>
      </c>
      <c r="CL13" s="64">
        <f>IF(CL$3=0,0,'OPEX'!$C$12)</f>
        <v/>
      </c>
      <c r="CM13" s="64">
        <f>IF(CM$3=0,0,'OPEX'!$C$12)</f>
        <v/>
      </c>
      <c r="CN13" s="64">
        <f>IF(CN$3=0,0,'OPEX'!$C$12)</f>
        <v/>
      </c>
      <c r="CO13" s="64">
        <f>IF(CO$3=0,0,'OPEX'!$C$12)</f>
        <v/>
      </c>
      <c r="CP13" s="64">
        <f>IF(CP$3=0,0,'OPEX'!$C$12)</f>
        <v/>
      </c>
      <c r="CQ13" s="64">
        <f>IF(CQ$3=0,0,'OPEX'!$C$12)</f>
        <v/>
      </c>
      <c r="CR13" s="64">
        <f>IF(CR$3=0,0,'OPEX'!$C$12)</f>
        <v/>
      </c>
      <c r="CS13" s="64">
        <f>IF(CS$3=0,0,'OPEX'!$C$12)</f>
        <v/>
      </c>
      <c r="CT13" s="64">
        <f>IF(CT$3=0,0,'OPEX'!$C$12)</f>
        <v/>
      </c>
      <c r="CU13" s="64">
        <f>IF(CU$3=0,0,'OPEX'!$C$12)</f>
        <v/>
      </c>
      <c r="CV13" s="64">
        <f>IF(CV$3=0,0,'OPEX'!$C$12)</f>
        <v/>
      </c>
      <c r="CW13" s="64">
        <f>IF(CW$3=0,0,'OPEX'!$C$12)</f>
        <v/>
      </c>
      <c r="CX13" s="64">
        <f>IF(CX$3=0,0,'OPEX'!$C$12)</f>
        <v/>
      </c>
      <c r="CY13" s="64">
        <f>IF(CY$3=0,0,'OPEX'!$C$12)</f>
        <v/>
      </c>
      <c r="CZ13" s="64">
        <f>IF(CZ$3=0,0,'OPEX'!$C$12)</f>
        <v/>
      </c>
      <c r="DA13" s="64">
        <f>IF(DA$3=0,0,'OPEX'!$C$12)</f>
        <v/>
      </c>
      <c r="DB13" s="64">
        <f>IF(DB$3=0,0,'OPEX'!$C$12)</f>
        <v/>
      </c>
      <c r="DC13" s="64">
        <f>IF(DC$3=0,0,'OPEX'!$C$12)</f>
        <v/>
      </c>
      <c r="DD13" s="64">
        <f>IF(DD$3=0,0,'OPEX'!$C$12)</f>
        <v/>
      </c>
      <c r="DE13" s="64">
        <f>IF(DE$3=0,0,'OPEX'!$C$12)</f>
        <v/>
      </c>
      <c r="DF13" s="64">
        <f>IF(DF$3=0,0,'OPEX'!$C$12)</f>
        <v/>
      </c>
      <c r="DG13" s="64">
        <f>IF(DG$3=0,0,'OPEX'!$C$12)</f>
        <v/>
      </c>
      <c r="DH13" s="64">
        <f>IF(DH$3=0,0,'OPEX'!$C$12)</f>
        <v/>
      </c>
      <c r="DI13" s="64">
        <f>IF(DI$3=0,0,'OPEX'!$C$12)</f>
        <v/>
      </c>
      <c r="DJ13" s="64">
        <f>IF(DJ$3=0,0,'OPEX'!$C$12)</f>
        <v/>
      </c>
      <c r="DK13" s="64">
        <f>IF(DK$3=0,0,'OPEX'!$C$12)</f>
        <v/>
      </c>
      <c r="DL13" s="64">
        <f>IF(DL$3=0,0,'OPEX'!$C$12)</f>
        <v/>
      </c>
      <c r="DM13" s="64">
        <f>IF(DM$3=0,0,'OPEX'!$C$12)</f>
        <v/>
      </c>
      <c r="DN13" s="64">
        <f>IF(DN$3=0,0,'OPEX'!$C$12)</f>
        <v/>
      </c>
      <c r="DO13" s="64">
        <f>IF(DO$3=0,0,'OPEX'!$C$12)</f>
        <v/>
      </c>
      <c r="DP13" s="64">
        <f>IF(DP$3=0,0,'OPEX'!$C$12)</f>
        <v/>
      </c>
      <c r="DQ13" s="64">
        <f>IF(DQ$3=0,0,'OPEX'!$C$12)</f>
        <v/>
      </c>
      <c r="DR13" s="64">
        <f>IF(DR$3=0,0,'OPEX'!$C$12)</f>
        <v/>
      </c>
      <c r="DS13" s="64">
        <f>IF(DS$3=0,0,'OPEX'!$C$12)</f>
        <v/>
      </c>
    </row>
    <row r="14">
      <c r="B14" s="22" t="inlineStr">
        <is>
          <t>إيراد الأرز الأبيض</t>
        </is>
      </c>
      <c r="C14" s="65">
        <f>IF(C$3=0,0,'OPEX'!$C$8*'الافتراضات'!$C$33*'الافتراضات'!$F$25*C$5)</f>
        <v/>
      </c>
      <c r="D14" s="65">
        <f>IF(D$3=0,0,'OPEX'!$C$8*'الافتراضات'!$C$33*'الافتراضات'!$F$25*D$5)</f>
        <v/>
      </c>
      <c r="E14" s="65">
        <f>IF(E$3=0,0,'OPEX'!$C$8*'الافتراضات'!$C$33*'الافتراضات'!$F$25*E$5)</f>
        <v/>
      </c>
      <c r="F14" s="65">
        <f>IF(F$3=0,0,'OPEX'!$C$8*'الافتراضات'!$C$33*'الافتراضات'!$F$25*F$5)</f>
        <v/>
      </c>
      <c r="G14" s="65">
        <f>IF(G$3=0,0,'OPEX'!$C$8*'الافتراضات'!$C$33*'الافتراضات'!$F$25*G$5)</f>
        <v/>
      </c>
      <c r="H14" s="65">
        <f>IF(H$3=0,0,'OPEX'!$C$8*'الافتراضات'!$C$33*'الافتراضات'!$F$25*H$5)</f>
        <v/>
      </c>
      <c r="I14" s="65">
        <f>IF(I$3=0,0,'OPEX'!$C$8*'الافتراضات'!$C$33*'الافتراضات'!$F$25*I$5)</f>
        <v/>
      </c>
      <c r="J14" s="65">
        <f>IF(J$3=0,0,'OPEX'!$C$8*'الافتراضات'!$C$33*'الافتراضات'!$F$25*J$5)</f>
        <v/>
      </c>
      <c r="K14" s="65">
        <f>IF(K$3=0,0,'OPEX'!$C$8*'الافتراضات'!$C$33*'الافتراضات'!$F$25*K$5)</f>
        <v/>
      </c>
      <c r="L14" s="65">
        <f>IF(L$3=0,0,'OPEX'!$C$8*'الافتراضات'!$C$33*'الافتراضات'!$F$25*L$5)</f>
        <v/>
      </c>
      <c r="M14" s="65">
        <f>IF(M$3=0,0,'OPEX'!$C$8*'الافتراضات'!$C$33*'الافتراضات'!$F$25*M$5)</f>
        <v/>
      </c>
      <c r="N14" s="65">
        <f>IF(N$3=0,0,'OPEX'!$C$8*'الافتراضات'!$C$33*'الافتراضات'!$F$25*N$5)</f>
        <v/>
      </c>
      <c r="O14" s="65">
        <f>IF(O$3=0,0,'OPEX'!$C$8*'الافتراضات'!$C$33*'الافتراضات'!$F$25*O$5)</f>
        <v/>
      </c>
      <c r="P14" s="65">
        <f>IF(P$3=0,0,'OPEX'!$C$8*'الافتراضات'!$C$33*'الافتراضات'!$F$25*P$5)</f>
        <v/>
      </c>
      <c r="Q14" s="65">
        <f>IF(Q$3=0,0,'OPEX'!$C$8*'الافتراضات'!$C$33*'الافتراضات'!$F$25*Q$5)</f>
        <v/>
      </c>
      <c r="R14" s="65">
        <f>IF(R$3=0,0,'OPEX'!$C$8*'الافتراضات'!$C$33*'الافتراضات'!$F$25*R$5)</f>
        <v/>
      </c>
      <c r="S14" s="65">
        <f>IF(S$3=0,0,'OPEX'!$C$8*'الافتراضات'!$C$33*'الافتراضات'!$F$25*S$5)</f>
        <v/>
      </c>
      <c r="T14" s="65">
        <f>IF(T$3=0,0,'OPEX'!$C$8*'الافتراضات'!$C$33*'الافتراضات'!$F$25*T$5)</f>
        <v/>
      </c>
      <c r="U14" s="65">
        <f>IF(U$3=0,0,'OPEX'!$C$8*'الافتراضات'!$C$33*'الافتراضات'!$F$25*U$5)</f>
        <v/>
      </c>
      <c r="V14" s="65">
        <f>IF(V$3=0,0,'OPEX'!$C$8*'الافتراضات'!$C$33*'الافتراضات'!$F$25*V$5)</f>
        <v/>
      </c>
      <c r="W14" s="65">
        <f>IF(W$3=0,0,'OPEX'!$C$8*'الافتراضات'!$C$33*'الافتراضات'!$F$25*W$5)</f>
        <v/>
      </c>
      <c r="X14" s="65">
        <f>IF(X$3=0,0,'OPEX'!$C$8*'الافتراضات'!$C$33*'الافتراضات'!$F$25*X$5)</f>
        <v/>
      </c>
      <c r="Y14" s="65">
        <f>IF(Y$3=0,0,'OPEX'!$C$8*'الافتراضات'!$C$33*'الافتراضات'!$F$25*Y$5)</f>
        <v/>
      </c>
      <c r="Z14" s="65">
        <f>IF(Z$3=0,0,'OPEX'!$C$8*'الافتراضات'!$C$33*'الافتراضات'!$F$25*Z$5)</f>
        <v/>
      </c>
      <c r="AA14" s="65">
        <f>IF(AA$3=0,0,'OPEX'!$C$8*'الافتراضات'!$C$33*'الافتراضات'!$F$25*AA$5)</f>
        <v/>
      </c>
      <c r="AB14" s="65">
        <f>IF(AB$3=0,0,'OPEX'!$C$8*'الافتراضات'!$C$33*'الافتراضات'!$F$25*AB$5)</f>
        <v/>
      </c>
      <c r="AC14" s="65">
        <f>IF(AC$3=0,0,'OPEX'!$C$8*'الافتراضات'!$C$33*'الافتراضات'!$F$25*AC$5)</f>
        <v/>
      </c>
      <c r="AD14" s="65">
        <f>IF(AD$3=0,0,'OPEX'!$C$8*'الافتراضات'!$C$33*'الافتراضات'!$F$25*AD$5)</f>
        <v/>
      </c>
      <c r="AE14" s="65">
        <f>IF(AE$3=0,0,'OPEX'!$C$8*'الافتراضات'!$C$33*'الافتراضات'!$F$25*AE$5)</f>
        <v/>
      </c>
      <c r="AF14" s="65">
        <f>IF(AF$3=0,0,'OPEX'!$C$8*'الافتراضات'!$C$33*'الافتراضات'!$F$25*AF$5)</f>
        <v/>
      </c>
      <c r="AG14" s="65">
        <f>IF(AG$3=0,0,'OPEX'!$C$8*'الافتراضات'!$C$33*'الافتراضات'!$F$25*AG$5)</f>
        <v/>
      </c>
      <c r="AH14" s="65">
        <f>IF(AH$3=0,0,'OPEX'!$C$8*'الافتراضات'!$C$33*'الافتراضات'!$F$25*AH$5)</f>
        <v/>
      </c>
      <c r="AI14" s="65">
        <f>IF(AI$3=0,0,'OPEX'!$C$8*'الافتراضات'!$C$33*'الافتراضات'!$F$25*AI$5)</f>
        <v/>
      </c>
      <c r="AJ14" s="65">
        <f>IF(AJ$3=0,0,'OPEX'!$C$8*'الافتراضات'!$C$33*'الافتراضات'!$F$25*AJ$5)</f>
        <v/>
      </c>
      <c r="AK14" s="65">
        <f>IF(AK$3=0,0,'OPEX'!$C$8*'الافتراضات'!$C$33*'الافتراضات'!$F$25*AK$5)</f>
        <v/>
      </c>
      <c r="AL14" s="65">
        <f>IF(AL$3=0,0,'OPEX'!$C$8*'الافتراضات'!$C$33*'الافتراضات'!$F$25*AL$5)</f>
        <v/>
      </c>
      <c r="AM14" s="65">
        <f>IF(AM$3=0,0,'OPEX'!$C$8*'الافتراضات'!$C$33*'الافتراضات'!$F$25*AM$5)</f>
        <v/>
      </c>
      <c r="AN14" s="65">
        <f>IF(AN$3=0,0,'OPEX'!$C$8*'الافتراضات'!$C$33*'الافتراضات'!$F$25*AN$5)</f>
        <v/>
      </c>
      <c r="AO14" s="65">
        <f>IF(AO$3=0,0,'OPEX'!$C$8*'الافتراضات'!$C$33*'الافتراضات'!$F$25*AO$5)</f>
        <v/>
      </c>
      <c r="AP14" s="65">
        <f>IF(AP$3=0,0,'OPEX'!$C$8*'الافتراضات'!$C$33*'الافتراضات'!$F$25*AP$5)</f>
        <v/>
      </c>
      <c r="AQ14" s="65">
        <f>IF(AQ$3=0,0,'OPEX'!$C$8*'الافتراضات'!$C$33*'الافتراضات'!$F$25*AQ$5)</f>
        <v/>
      </c>
      <c r="AR14" s="65">
        <f>IF(AR$3=0,0,'OPEX'!$C$8*'الافتراضات'!$C$33*'الافتراضات'!$F$25*AR$5)</f>
        <v/>
      </c>
      <c r="AS14" s="65">
        <f>IF(AS$3=0,0,'OPEX'!$C$8*'الافتراضات'!$C$33*'الافتراضات'!$F$25*AS$5)</f>
        <v/>
      </c>
      <c r="AT14" s="65">
        <f>IF(AT$3=0,0,'OPEX'!$C$8*'الافتراضات'!$C$33*'الافتراضات'!$F$25*AT$5)</f>
        <v/>
      </c>
      <c r="AU14" s="65">
        <f>IF(AU$3=0,0,'OPEX'!$C$8*'الافتراضات'!$C$33*'الافتراضات'!$F$25*AU$5)</f>
        <v/>
      </c>
      <c r="AV14" s="65">
        <f>IF(AV$3=0,0,'OPEX'!$C$8*'الافتراضات'!$C$33*'الافتراضات'!$F$25*AV$5)</f>
        <v/>
      </c>
      <c r="AW14" s="65">
        <f>IF(AW$3=0,0,'OPEX'!$C$8*'الافتراضات'!$C$33*'الافتراضات'!$F$25*AW$5)</f>
        <v/>
      </c>
      <c r="AX14" s="65">
        <f>IF(AX$3=0,0,'OPEX'!$C$8*'الافتراضات'!$C$33*'الافتراضات'!$F$25*AX$5)</f>
        <v/>
      </c>
      <c r="AY14" s="65">
        <f>IF(AY$3=0,0,'OPEX'!$C$8*'الافتراضات'!$C$33*'الافتراضات'!$F$25*AY$5)</f>
        <v/>
      </c>
      <c r="AZ14" s="65">
        <f>IF(AZ$3=0,0,'OPEX'!$C$8*'الافتراضات'!$C$33*'الافتراضات'!$F$25*AZ$5)</f>
        <v/>
      </c>
      <c r="BA14" s="65">
        <f>IF(BA$3=0,0,'OPEX'!$C$8*'الافتراضات'!$C$33*'الافتراضات'!$F$25*BA$5)</f>
        <v/>
      </c>
      <c r="BB14" s="65">
        <f>IF(BB$3=0,0,'OPEX'!$C$8*'الافتراضات'!$C$33*'الافتراضات'!$F$25*BB$5)</f>
        <v/>
      </c>
      <c r="BC14" s="65">
        <f>IF(BC$3=0,0,'OPEX'!$C$8*'الافتراضات'!$C$33*'الافتراضات'!$F$25*BC$5)</f>
        <v/>
      </c>
      <c r="BD14" s="65">
        <f>IF(BD$3=0,0,'OPEX'!$C$8*'الافتراضات'!$C$33*'الافتراضات'!$F$25*BD$5)</f>
        <v/>
      </c>
      <c r="BE14" s="65">
        <f>IF(BE$3=0,0,'OPEX'!$C$8*'الافتراضات'!$C$33*'الافتراضات'!$F$25*BE$5)</f>
        <v/>
      </c>
      <c r="BF14" s="65">
        <f>IF(BF$3=0,0,'OPEX'!$C$8*'الافتراضات'!$C$33*'الافتراضات'!$F$25*BF$5)</f>
        <v/>
      </c>
      <c r="BG14" s="65">
        <f>IF(BG$3=0,0,'OPEX'!$C$8*'الافتراضات'!$C$33*'الافتراضات'!$F$25*BG$5)</f>
        <v/>
      </c>
      <c r="BH14" s="65">
        <f>IF(BH$3=0,0,'OPEX'!$C$8*'الافتراضات'!$C$33*'الافتراضات'!$F$25*BH$5)</f>
        <v/>
      </c>
      <c r="BI14" s="65">
        <f>IF(BI$3=0,0,'OPEX'!$C$8*'الافتراضات'!$C$33*'الافتراضات'!$F$25*BI$5)</f>
        <v/>
      </c>
      <c r="BJ14" s="65">
        <f>IF(BJ$3=0,0,'OPEX'!$C$8*'الافتراضات'!$C$33*'الافتراضات'!$F$25*BJ$5)</f>
        <v/>
      </c>
      <c r="BK14" s="65">
        <f>IF(BK$3=0,0,'OPEX'!$C$8*'الافتراضات'!$C$33*'الافتراضات'!$F$25*BK$5)</f>
        <v/>
      </c>
      <c r="BL14" s="65">
        <f>IF(BL$3=0,0,'OPEX'!$C$8*'الافتراضات'!$C$33*'الافتراضات'!$F$25*BL$5)</f>
        <v/>
      </c>
      <c r="BM14" s="65">
        <f>IF(BM$3=0,0,'OPEX'!$C$8*'الافتراضات'!$C$33*'الافتراضات'!$F$25*BM$5)</f>
        <v/>
      </c>
      <c r="BN14" s="65">
        <f>IF(BN$3=0,0,'OPEX'!$C$8*'الافتراضات'!$C$33*'الافتراضات'!$F$25*BN$5)</f>
        <v/>
      </c>
      <c r="BO14" s="65">
        <f>IF(BO$3=0,0,'OPEX'!$C$8*'الافتراضات'!$C$33*'الافتراضات'!$F$25*BO$5)</f>
        <v/>
      </c>
      <c r="BP14" s="65">
        <f>IF(BP$3=0,0,'OPEX'!$C$8*'الافتراضات'!$C$33*'الافتراضات'!$F$25*BP$5)</f>
        <v/>
      </c>
      <c r="BQ14" s="65">
        <f>IF(BQ$3=0,0,'OPEX'!$C$8*'الافتراضات'!$C$33*'الافتراضات'!$F$25*BQ$5)</f>
        <v/>
      </c>
      <c r="BR14" s="65">
        <f>IF(BR$3=0,0,'OPEX'!$C$8*'الافتراضات'!$C$33*'الافتراضات'!$F$25*BR$5)</f>
        <v/>
      </c>
      <c r="BS14" s="65">
        <f>IF(BS$3=0,0,'OPEX'!$C$8*'الافتراضات'!$C$33*'الافتراضات'!$F$25*BS$5)</f>
        <v/>
      </c>
      <c r="BT14" s="65">
        <f>IF(BT$3=0,0,'OPEX'!$C$8*'الافتراضات'!$C$33*'الافتراضات'!$F$25*BT$5)</f>
        <v/>
      </c>
      <c r="BU14" s="65">
        <f>IF(BU$3=0,0,'OPEX'!$C$8*'الافتراضات'!$C$33*'الافتراضات'!$F$25*BU$5)</f>
        <v/>
      </c>
      <c r="BV14" s="65">
        <f>IF(BV$3=0,0,'OPEX'!$C$8*'الافتراضات'!$C$33*'الافتراضات'!$F$25*BV$5)</f>
        <v/>
      </c>
      <c r="BW14" s="65">
        <f>IF(BW$3=0,0,'OPEX'!$C$8*'الافتراضات'!$C$33*'الافتراضات'!$F$25*BW$5)</f>
        <v/>
      </c>
      <c r="BX14" s="65">
        <f>IF(BX$3=0,0,'OPEX'!$C$8*'الافتراضات'!$C$33*'الافتراضات'!$F$25*BX$5)</f>
        <v/>
      </c>
      <c r="BY14" s="65">
        <f>IF(BY$3=0,0,'OPEX'!$C$8*'الافتراضات'!$C$33*'الافتراضات'!$F$25*BY$5)</f>
        <v/>
      </c>
      <c r="BZ14" s="65">
        <f>IF(BZ$3=0,0,'OPEX'!$C$8*'الافتراضات'!$C$33*'الافتراضات'!$F$25*BZ$5)</f>
        <v/>
      </c>
      <c r="CA14" s="65">
        <f>IF(CA$3=0,0,'OPEX'!$C$8*'الافتراضات'!$C$33*'الافتراضات'!$F$25*CA$5)</f>
        <v/>
      </c>
      <c r="CB14" s="65">
        <f>IF(CB$3=0,0,'OPEX'!$C$8*'الافتراضات'!$C$33*'الافتراضات'!$F$25*CB$5)</f>
        <v/>
      </c>
      <c r="CC14" s="65">
        <f>IF(CC$3=0,0,'OPEX'!$C$8*'الافتراضات'!$C$33*'الافتراضات'!$F$25*CC$5)</f>
        <v/>
      </c>
      <c r="CD14" s="65">
        <f>IF(CD$3=0,0,'OPEX'!$C$8*'الافتراضات'!$C$33*'الافتراضات'!$F$25*CD$5)</f>
        <v/>
      </c>
      <c r="CE14" s="65">
        <f>IF(CE$3=0,0,'OPEX'!$C$8*'الافتراضات'!$C$33*'الافتراضات'!$F$25*CE$5)</f>
        <v/>
      </c>
      <c r="CF14" s="65">
        <f>IF(CF$3=0,0,'OPEX'!$C$8*'الافتراضات'!$C$33*'الافتراضات'!$F$25*CF$5)</f>
        <v/>
      </c>
      <c r="CG14" s="65">
        <f>IF(CG$3=0,0,'OPEX'!$C$8*'الافتراضات'!$C$33*'الافتراضات'!$F$25*CG$5)</f>
        <v/>
      </c>
      <c r="CH14" s="65">
        <f>IF(CH$3=0,0,'OPEX'!$C$8*'الافتراضات'!$C$33*'الافتراضات'!$F$25*CH$5)</f>
        <v/>
      </c>
      <c r="CI14" s="65">
        <f>IF(CI$3=0,0,'OPEX'!$C$8*'الافتراضات'!$C$33*'الافتراضات'!$F$25*CI$5)</f>
        <v/>
      </c>
      <c r="CJ14" s="65">
        <f>IF(CJ$3=0,0,'OPEX'!$C$8*'الافتراضات'!$C$33*'الافتراضات'!$F$25*CJ$5)</f>
        <v/>
      </c>
      <c r="CK14" s="65">
        <f>IF(CK$3=0,0,'OPEX'!$C$8*'الافتراضات'!$C$33*'الافتراضات'!$F$25*CK$5)</f>
        <v/>
      </c>
      <c r="CL14" s="65">
        <f>IF(CL$3=0,0,'OPEX'!$C$8*'الافتراضات'!$C$33*'الافتراضات'!$F$25*CL$5)</f>
        <v/>
      </c>
      <c r="CM14" s="65">
        <f>IF(CM$3=0,0,'OPEX'!$C$8*'الافتراضات'!$C$33*'الافتراضات'!$F$25*CM$5)</f>
        <v/>
      </c>
      <c r="CN14" s="65">
        <f>IF(CN$3=0,0,'OPEX'!$C$8*'الافتراضات'!$C$33*'الافتراضات'!$F$25*CN$5)</f>
        <v/>
      </c>
      <c r="CO14" s="65">
        <f>IF(CO$3=0,0,'OPEX'!$C$8*'الافتراضات'!$C$33*'الافتراضات'!$F$25*CO$5)</f>
        <v/>
      </c>
      <c r="CP14" s="65">
        <f>IF(CP$3=0,0,'OPEX'!$C$8*'الافتراضات'!$C$33*'الافتراضات'!$F$25*CP$5)</f>
        <v/>
      </c>
      <c r="CQ14" s="65">
        <f>IF(CQ$3=0,0,'OPEX'!$C$8*'الافتراضات'!$C$33*'الافتراضات'!$F$25*CQ$5)</f>
        <v/>
      </c>
      <c r="CR14" s="65">
        <f>IF(CR$3=0,0,'OPEX'!$C$8*'الافتراضات'!$C$33*'الافتراضات'!$F$25*CR$5)</f>
        <v/>
      </c>
      <c r="CS14" s="65">
        <f>IF(CS$3=0,0,'OPEX'!$C$8*'الافتراضات'!$C$33*'الافتراضات'!$F$25*CS$5)</f>
        <v/>
      </c>
      <c r="CT14" s="65">
        <f>IF(CT$3=0,0,'OPEX'!$C$8*'الافتراضات'!$C$33*'الافتراضات'!$F$25*CT$5)</f>
        <v/>
      </c>
      <c r="CU14" s="65">
        <f>IF(CU$3=0,0,'OPEX'!$C$8*'الافتراضات'!$C$33*'الافتراضات'!$F$25*CU$5)</f>
        <v/>
      </c>
      <c r="CV14" s="65">
        <f>IF(CV$3=0,0,'OPEX'!$C$8*'الافتراضات'!$C$33*'الافتراضات'!$F$25*CV$5)</f>
        <v/>
      </c>
      <c r="CW14" s="65">
        <f>IF(CW$3=0,0,'OPEX'!$C$8*'الافتراضات'!$C$33*'الافتراضات'!$F$25*CW$5)</f>
        <v/>
      </c>
      <c r="CX14" s="65">
        <f>IF(CX$3=0,0,'OPEX'!$C$8*'الافتراضات'!$C$33*'الافتراضات'!$F$25*CX$5)</f>
        <v/>
      </c>
      <c r="CY14" s="65">
        <f>IF(CY$3=0,0,'OPEX'!$C$8*'الافتراضات'!$C$33*'الافتراضات'!$F$25*CY$5)</f>
        <v/>
      </c>
      <c r="CZ14" s="65">
        <f>IF(CZ$3=0,0,'OPEX'!$C$8*'الافتراضات'!$C$33*'الافتراضات'!$F$25*CZ$5)</f>
        <v/>
      </c>
      <c r="DA14" s="65">
        <f>IF(DA$3=0,0,'OPEX'!$C$8*'الافتراضات'!$C$33*'الافتراضات'!$F$25*DA$5)</f>
        <v/>
      </c>
      <c r="DB14" s="65">
        <f>IF(DB$3=0,0,'OPEX'!$C$8*'الافتراضات'!$C$33*'الافتراضات'!$F$25*DB$5)</f>
        <v/>
      </c>
      <c r="DC14" s="65">
        <f>IF(DC$3=0,0,'OPEX'!$C$8*'الافتراضات'!$C$33*'الافتراضات'!$F$25*DC$5)</f>
        <v/>
      </c>
      <c r="DD14" s="65">
        <f>IF(DD$3=0,0,'OPEX'!$C$8*'الافتراضات'!$C$33*'الافتراضات'!$F$25*DD$5)</f>
        <v/>
      </c>
      <c r="DE14" s="65">
        <f>IF(DE$3=0,0,'OPEX'!$C$8*'الافتراضات'!$C$33*'الافتراضات'!$F$25*DE$5)</f>
        <v/>
      </c>
      <c r="DF14" s="65">
        <f>IF(DF$3=0,0,'OPEX'!$C$8*'الافتراضات'!$C$33*'الافتراضات'!$F$25*DF$5)</f>
        <v/>
      </c>
      <c r="DG14" s="65">
        <f>IF(DG$3=0,0,'OPEX'!$C$8*'الافتراضات'!$C$33*'الافتراضات'!$F$25*DG$5)</f>
        <v/>
      </c>
      <c r="DH14" s="65">
        <f>IF(DH$3=0,0,'OPEX'!$C$8*'الافتراضات'!$C$33*'الافتراضات'!$F$25*DH$5)</f>
        <v/>
      </c>
      <c r="DI14" s="65">
        <f>IF(DI$3=0,0,'OPEX'!$C$8*'الافتراضات'!$C$33*'الافتراضات'!$F$25*DI$5)</f>
        <v/>
      </c>
      <c r="DJ14" s="65">
        <f>IF(DJ$3=0,0,'OPEX'!$C$8*'الافتراضات'!$C$33*'الافتراضات'!$F$25*DJ$5)</f>
        <v/>
      </c>
      <c r="DK14" s="65">
        <f>IF(DK$3=0,0,'OPEX'!$C$8*'الافتراضات'!$C$33*'الافتراضات'!$F$25*DK$5)</f>
        <v/>
      </c>
      <c r="DL14" s="65">
        <f>IF(DL$3=0,0,'OPEX'!$C$8*'الافتراضات'!$C$33*'الافتراضات'!$F$25*DL$5)</f>
        <v/>
      </c>
      <c r="DM14" s="65">
        <f>IF(DM$3=0,0,'OPEX'!$C$8*'الافتراضات'!$C$33*'الافتراضات'!$F$25*DM$5)</f>
        <v/>
      </c>
      <c r="DN14" s="65">
        <f>IF(DN$3=0,0,'OPEX'!$C$8*'الافتراضات'!$C$33*'الافتراضات'!$F$25*DN$5)</f>
        <v/>
      </c>
      <c r="DO14" s="65">
        <f>IF(DO$3=0,0,'OPEX'!$C$8*'الافتراضات'!$C$33*'الافتراضات'!$F$25*DO$5)</f>
        <v/>
      </c>
      <c r="DP14" s="65">
        <f>IF(DP$3=0,0,'OPEX'!$C$8*'الافتراضات'!$C$33*'الافتراضات'!$F$25*DP$5)</f>
        <v/>
      </c>
      <c r="DQ14" s="65">
        <f>IF(DQ$3=0,0,'OPEX'!$C$8*'الافتراضات'!$C$33*'الافتراضات'!$F$25*DQ$5)</f>
        <v/>
      </c>
      <c r="DR14" s="65">
        <f>IF(DR$3=0,0,'OPEX'!$C$8*'الافتراضات'!$C$33*'الافتراضات'!$F$25*DR$5)</f>
        <v/>
      </c>
      <c r="DS14" s="65">
        <f>IF(DS$3=0,0,'OPEX'!$C$8*'الافتراضات'!$C$33*'الافتراضات'!$F$25*DS$5)</f>
        <v/>
      </c>
    </row>
    <row r="15">
      <c r="B15" s="22" t="inlineStr">
        <is>
          <t>إيراد العلف الجاهز</t>
        </is>
      </c>
      <c r="C15" s="65">
        <f>IF(C$3=0,0,'OPEX'!$C$12*'الافتراضات'!$C$34*'الافتراضات'!$F$26*C$5)</f>
        <v/>
      </c>
      <c r="D15" s="65">
        <f>IF(D$3=0,0,'OPEX'!$C$12*'الافتراضات'!$C$34*'الافتراضات'!$F$26*D$5)</f>
        <v/>
      </c>
      <c r="E15" s="65">
        <f>IF(E$3=0,0,'OPEX'!$C$12*'الافتراضات'!$C$34*'الافتراضات'!$F$26*E$5)</f>
        <v/>
      </c>
      <c r="F15" s="65">
        <f>IF(F$3=0,0,'OPEX'!$C$12*'الافتراضات'!$C$34*'الافتراضات'!$F$26*F$5)</f>
        <v/>
      </c>
      <c r="G15" s="65">
        <f>IF(G$3=0,0,'OPEX'!$C$12*'الافتراضات'!$C$34*'الافتراضات'!$F$26*G$5)</f>
        <v/>
      </c>
      <c r="H15" s="65">
        <f>IF(H$3=0,0,'OPEX'!$C$12*'الافتراضات'!$C$34*'الافتراضات'!$F$26*H$5)</f>
        <v/>
      </c>
      <c r="I15" s="65">
        <f>IF(I$3=0,0,'OPEX'!$C$12*'الافتراضات'!$C$34*'الافتراضات'!$F$26*I$5)</f>
        <v/>
      </c>
      <c r="J15" s="65">
        <f>IF(J$3=0,0,'OPEX'!$C$12*'الافتراضات'!$C$34*'الافتراضات'!$F$26*J$5)</f>
        <v/>
      </c>
      <c r="K15" s="65">
        <f>IF(K$3=0,0,'OPEX'!$C$12*'الافتراضات'!$C$34*'الافتراضات'!$F$26*K$5)</f>
        <v/>
      </c>
      <c r="L15" s="65">
        <f>IF(L$3=0,0,'OPEX'!$C$12*'الافتراضات'!$C$34*'الافتراضات'!$F$26*L$5)</f>
        <v/>
      </c>
      <c r="M15" s="65">
        <f>IF(M$3=0,0,'OPEX'!$C$12*'الافتراضات'!$C$34*'الافتراضات'!$F$26*M$5)</f>
        <v/>
      </c>
      <c r="N15" s="65">
        <f>IF(N$3=0,0,'OPEX'!$C$12*'الافتراضات'!$C$34*'الافتراضات'!$F$26*N$5)</f>
        <v/>
      </c>
      <c r="O15" s="65">
        <f>IF(O$3=0,0,'OPEX'!$C$12*'الافتراضات'!$C$34*'الافتراضات'!$F$26*O$5)</f>
        <v/>
      </c>
      <c r="P15" s="65">
        <f>IF(P$3=0,0,'OPEX'!$C$12*'الافتراضات'!$C$34*'الافتراضات'!$F$26*P$5)</f>
        <v/>
      </c>
      <c r="Q15" s="65">
        <f>IF(Q$3=0,0,'OPEX'!$C$12*'الافتراضات'!$C$34*'الافتراضات'!$F$26*Q$5)</f>
        <v/>
      </c>
      <c r="R15" s="65">
        <f>IF(R$3=0,0,'OPEX'!$C$12*'الافتراضات'!$C$34*'الافتراضات'!$F$26*R$5)</f>
        <v/>
      </c>
      <c r="S15" s="65">
        <f>IF(S$3=0,0,'OPEX'!$C$12*'الافتراضات'!$C$34*'الافتراضات'!$F$26*S$5)</f>
        <v/>
      </c>
      <c r="T15" s="65">
        <f>IF(T$3=0,0,'OPEX'!$C$12*'الافتراضات'!$C$34*'الافتراضات'!$F$26*T$5)</f>
        <v/>
      </c>
      <c r="U15" s="65">
        <f>IF(U$3=0,0,'OPEX'!$C$12*'الافتراضات'!$C$34*'الافتراضات'!$F$26*U$5)</f>
        <v/>
      </c>
      <c r="V15" s="65">
        <f>IF(V$3=0,0,'OPEX'!$C$12*'الافتراضات'!$C$34*'الافتراضات'!$F$26*V$5)</f>
        <v/>
      </c>
      <c r="W15" s="65">
        <f>IF(W$3=0,0,'OPEX'!$C$12*'الافتراضات'!$C$34*'الافتراضات'!$F$26*W$5)</f>
        <v/>
      </c>
      <c r="X15" s="65">
        <f>IF(X$3=0,0,'OPEX'!$C$12*'الافتراضات'!$C$34*'الافتراضات'!$F$26*X$5)</f>
        <v/>
      </c>
      <c r="Y15" s="65">
        <f>IF(Y$3=0,0,'OPEX'!$C$12*'الافتراضات'!$C$34*'الافتراضات'!$F$26*Y$5)</f>
        <v/>
      </c>
      <c r="Z15" s="65">
        <f>IF(Z$3=0,0,'OPEX'!$C$12*'الافتراضات'!$C$34*'الافتراضات'!$F$26*Z$5)</f>
        <v/>
      </c>
      <c r="AA15" s="65">
        <f>IF(AA$3=0,0,'OPEX'!$C$12*'الافتراضات'!$C$34*'الافتراضات'!$F$26*AA$5)</f>
        <v/>
      </c>
      <c r="AB15" s="65">
        <f>IF(AB$3=0,0,'OPEX'!$C$12*'الافتراضات'!$C$34*'الافتراضات'!$F$26*AB$5)</f>
        <v/>
      </c>
      <c r="AC15" s="65">
        <f>IF(AC$3=0,0,'OPEX'!$C$12*'الافتراضات'!$C$34*'الافتراضات'!$F$26*AC$5)</f>
        <v/>
      </c>
      <c r="AD15" s="65">
        <f>IF(AD$3=0,0,'OPEX'!$C$12*'الافتراضات'!$C$34*'الافتراضات'!$F$26*AD$5)</f>
        <v/>
      </c>
      <c r="AE15" s="65">
        <f>IF(AE$3=0,0,'OPEX'!$C$12*'الافتراضات'!$C$34*'الافتراضات'!$F$26*AE$5)</f>
        <v/>
      </c>
      <c r="AF15" s="65">
        <f>IF(AF$3=0,0,'OPEX'!$C$12*'الافتراضات'!$C$34*'الافتراضات'!$F$26*AF$5)</f>
        <v/>
      </c>
      <c r="AG15" s="65">
        <f>IF(AG$3=0,0,'OPEX'!$C$12*'الافتراضات'!$C$34*'الافتراضات'!$F$26*AG$5)</f>
        <v/>
      </c>
      <c r="AH15" s="65">
        <f>IF(AH$3=0,0,'OPEX'!$C$12*'الافتراضات'!$C$34*'الافتراضات'!$F$26*AH$5)</f>
        <v/>
      </c>
      <c r="AI15" s="65">
        <f>IF(AI$3=0,0,'OPEX'!$C$12*'الافتراضات'!$C$34*'الافتراضات'!$F$26*AI$5)</f>
        <v/>
      </c>
      <c r="AJ15" s="65">
        <f>IF(AJ$3=0,0,'OPEX'!$C$12*'الافتراضات'!$C$34*'الافتراضات'!$F$26*AJ$5)</f>
        <v/>
      </c>
      <c r="AK15" s="65">
        <f>IF(AK$3=0,0,'OPEX'!$C$12*'الافتراضات'!$C$34*'الافتراضات'!$F$26*AK$5)</f>
        <v/>
      </c>
      <c r="AL15" s="65">
        <f>IF(AL$3=0,0,'OPEX'!$C$12*'الافتراضات'!$C$34*'الافتراضات'!$F$26*AL$5)</f>
        <v/>
      </c>
      <c r="AM15" s="65">
        <f>IF(AM$3=0,0,'OPEX'!$C$12*'الافتراضات'!$C$34*'الافتراضات'!$F$26*AM$5)</f>
        <v/>
      </c>
      <c r="AN15" s="65">
        <f>IF(AN$3=0,0,'OPEX'!$C$12*'الافتراضات'!$C$34*'الافتراضات'!$F$26*AN$5)</f>
        <v/>
      </c>
      <c r="AO15" s="65">
        <f>IF(AO$3=0,0,'OPEX'!$C$12*'الافتراضات'!$C$34*'الافتراضات'!$F$26*AO$5)</f>
        <v/>
      </c>
      <c r="AP15" s="65">
        <f>IF(AP$3=0,0,'OPEX'!$C$12*'الافتراضات'!$C$34*'الافتراضات'!$F$26*AP$5)</f>
        <v/>
      </c>
      <c r="AQ15" s="65">
        <f>IF(AQ$3=0,0,'OPEX'!$C$12*'الافتراضات'!$C$34*'الافتراضات'!$F$26*AQ$5)</f>
        <v/>
      </c>
      <c r="AR15" s="65">
        <f>IF(AR$3=0,0,'OPEX'!$C$12*'الافتراضات'!$C$34*'الافتراضات'!$F$26*AR$5)</f>
        <v/>
      </c>
      <c r="AS15" s="65">
        <f>IF(AS$3=0,0,'OPEX'!$C$12*'الافتراضات'!$C$34*'الافتراضات'!$F$26*AS$5)</f>
        <v/>
      </c>
      <c r="AT15" s="65">
        <f>IF(AT$3=0,0,'OPEX'!$C$12*'الافتراضات'!$C$34*'الافتراضات'!$F$26*AT$5)</f>
        <v/>
      </c>
      <c r="AU15" s="65">
        <f>IF(AU$3=0,0,'OPEX'!$C$12*'الافتراضات'!$C$34*'الافتراضات'!$F$26*AU$5)</f>
        <v/>
      </c>
      <c r="AV15" s="65">
        <f>IF(AV$3=0,0,'OPEX'!$C$12*'الافتراضات'!$C$34*'الافتراضات'!$F$26*AV$5)</f>
        <v/>
      </c>
      <c r="AW15" s="65">
        <f>IF(AW$3=0,0,'OPEX'!$C$12*'الافتراضات'!$C$34*'الافتراضات'!$F$26*AW$5)</f>
        <v/>
      </c>
      <c r="AX15" s="65">
        <f>IF(AX$3=0,0,'OPEX'!$C$12*'الافتراضات'!$C$34*'الافتراضات'!$F$26*AX$5)</f>
        <v/>
      </c>
      <c r="AY15" s="65">
        <f>IF(AY$3=0,0,'OPEX'!$C$12*'الافتراضات'!$C$34*'الافتراضات'!$F$26*AY$5)</f>
        <v/>
      </c>
      <c r="AZ15" s="65">
        <f>IF(AZ$3=0,0,'OPEX'!$C$12*'الافتراضات'!$C$34*'الافتراضات'!$F$26*AZ$5)</f>
        <v/>
      </c>
      <c r="BA15" s="65">
        <f>IF(BA$3=0,0,'OPEX'!$C$12*'الافتراضات'!$C$34*'الافتراضات'!$F$26*BA$5)</f>
        <v/>
      </c>
      <c r="BB15" s="65">
        <f>IF(BB$3=0,0,'OPEX'!$C$12*'الافتراضات'!$C$34*'الافتراضات'!$F$26*BB$5)</f>
        <v/>
      </c>
      <c r="BC15" s="65">
        <f>IF(BC$3=0,0,'OPEX'!$C$12*'الافتراضات'!$C$34*'الافتراضات'!$F$26*BC$5)</f>
        <v/>
      </c>
      <c r="BD15" s="65">
        <f>IF(BD$3=0,0,'OPEX'!$C$12*'الافتراضات'!$C$34*'الافتراضات'!$F$26*BD$5)</f>
        <v/>
      </c>
      <c r="BE15" s="65">
        <f>IF(BE$3=0,0,'OPEX'!$C$12*'الافتراضات'!$C$34*'الافتراضات'!$F$26*BE$5)</f>
        <v/>
      </c>
      <c r="BF15" s="65">
        <f>IF(BF$3=0,0,'OPEX'!$C$12*'الافتراضات'!$C$34*'الافتراضات'!$F$26*BF$5)</f>
        <v/>
      </c>
      <c r="BG15" s="65">
        <f>IF(BG$3=0,0,'OPEX'!$C$12*'الافتراضات'!$C$34*'الافتراضات'!$F$26*BG$5)</f>
        <v/>
      </c>
      <c r="BH15" s="65">
        <f>IF(BH$3=0,0,'OPEX'!$C$12*'الافتراضات'!$C$34*'الافتراضات'!$F$26*BH$5)</f>
        <v/>
      </c>
      <c r="BI15" s="65">
        <f>IF(BI$3=0,0,'OPEX'!$C$12*'الافتراضات'!$C$34*'الافتراضات'!$F$26*BI$5)</f>
        <v/>
      </c>
      <c r="BJ15" s="65">
        <f>IF(BJ$3=0,0,'OPEX'!$C$12*'الافتراضات'!$C$34*'الافتراضات'!$F$26*BJ$5)</f>
        <v/>
      </c>
      <c r="BK15" s="65">
        <f>IF(BK$3=0,0,'OPEX'!$C$12*'الافتراضات'!$C$34*'الافتراضات'!$F$26*BK$5)</f>
        <v/>
      </c>
      <c r="BL15" s="65">
        <f>IF(BL$3=0,0,'OPEX'!$C$12*'الافتراضات'!$C$34*'الافتراضات'!$F$26*BL$5)</f>
        <v/>
      </c>
      <c r="BM15" s="65">
        <f>IF(BM$3=0,0,'OPEX'!$C$12*'الافتراضات'!$C$34*'الافتراضات'!$F$26*BM$5)</f>
        <v/>
      </c>
      <c r="BN15" s="65">
        <f>IF(BN$3=0,0,'OPEX'!$C$12*'الافتراضات'!$C$34*'الافتراضات'!$F$26*BN$5)</f>
        <v/>
      </c>
      <c r="BO15" s="65">
        <f>IF(BO$3=0,0,'OPEX'!$C$12*'الافتراضات'!$C$34*'الافتراضات'!$F$26*BO$5)</f>
        <v/>
      </c>
      <c r="BP15" s="65">
        <f>IF(BP$3=0,0,'OPEX'!$C$12*'الافتراضات'!$C$34*'الافتراضات'!$F$26*BP$5)</f>
        <v/>
      </c>
      <c r="BQ15" s="65">
        <f>IF(BQ$3=0,0,'OPEX'!$C$12*'الافتراضات'!$C$34*'الافتراضات'!$F$26*BQ$5)</f>
        <v/>
      </c>
      <c r="BR15" s="65">
        <f>IF(BR$3=0,0,'OPEX'!$C$12*'الافتراضات'!$C$34*'الافتراضات'!$F$26*BR$5)</f>
        <v/>
      </c>
      <c r="BS15" s="65">
        <f>IF(BS$3=0,0,'OPEX'!$C$12*'الافتراضات'!$C$34*'الافتراضات'!$F$26*BS$5)</f>
        <v/>
      </c>
      <c r="BT15" s="65">
        <f>IF(BT$3=0,0,'OPEX'!$C$12*'الافتراضات'!$C$34*'الافتراضات'!$F$26*BT$5)</f>
        <v/>
      </c>
      <c r="BU15" s="65">
        <f>IF(BU$3=0,0,'OPEX'!$C$12*'الافتراضات'!$C$34*'الافتراضات'!$F$26*BU$5)</f>
        <v/>
      </c>
      <c r="BV15" s="65">
        <f>IF(BV$3=0,0,'OPEX'!$C$12*'الافتراضات'!$C$34*'الافتراضات'!$F$26*BV$5)</f>
        <v/>
      </c>
      <c r="BW15" s="65">
        <f>IF(BW$3=0,0,'OPEX'!$C$12*'الافتراضات'!$C$34*'الافتراضات'!$F$26*BW$5)</f>
        <v/>
      </c>
      <c r="BX15" s="65">
        <f>IF(BX$3=0,0,'OPEX'!$C$12*'الافتراضات'!$C$34*'الافتراضات'!$F$26*BX$5)</f>
        <v/>
      </c>
      <c r="BY15" s="65">
        <f>IF(BY$3=0,0,'OPEX'!$C$12*'الافتراضات'!$C$34*'الافتراضات'!$F$26*BY$5)</f>
        <v/>
      </c>
      <c r="BZ15" s="65">
        <f>IF(BZ$3=0,0,'OPEX'!$C$12*'الافتراضات'!$C$34*'الافتراضات'!$F$26*BZ$5)</f>
        <v/>
      </c>
      <c r="CA15" s="65">
        <f>IF(CA$3=0,0,'OPEX'!$C$12*'الافتراضات'!$C$34*'الافتراضات'!$F$26*CA$5)</f>
        <v/>
      </c>
      <c r="CB15" s="65">
        <f>IF(CB$3=0,0,'OPEX'!$C$12*'الافتراضات'!$C$34*'الافتراضات'!$F$26*CB$5)</f>
        <v/>
      </c>
      <c r="CC15" s="65">
        <f>IF(CC$3=0,0,'OPEX'!$C$12*'الافتراضات'!$C$34*'الافتراضات'!$F$26*CC$5)</f>
        <v/>
      </c>
      <c r="CD15" s="65">
        <f>IF(CD$3=0,0,'OPEX'!$C$12*'الافتراضات'!$C$34*'الافتراضات'!$F$26*CD$5)</f>
        <v/>
      </c>
      <c r="CE15" s="65">
        <f>IF(CE$3=0,0,'OPEX'!$C$12*'الافتراضات'!$C$34*'الافتراضات'!$F$26*CE$5)</f>
        <v/>
      </c>
      <c r="CF15" s="65">
        <f>IF(CF$3=0,0,'OPEX'!$C$12*'الافتراضات'!$C$34*'الافتراضات'!$F$26*CF$5)</f>
        <v/>
      </c>
      <c r="CG15" s="65">
        <f>IF(CG$3=0,0,'OPEX'!$C$12*'الافتراضات'!$C$34*'الافتراضات'!$F$26*CG$5)</f>
        <v/>
      </c>
      <c r="CH15" s="65">
        <f>IF(CH$3=0,0,'OPEX'!$C$12*'الافتراضات'!$C$34*'الافتراضات'!$F$26*CH$5)</f>
        <v/>
      </c>
      <c r="CI15" s="65">
        <f>IF(CI$3=0,0,'OPEX'!$C$12*'الافتراضات'!$C$34*'الافتراضات'!$F$26*CI$5)</f>
        <v/>
      </c>
      <c r="CJ15" s="65">
        <f>IF(CJ$3=0,0,'OPEX'!$C$12*'الافتراضات'!$C$34*'الافتراضات'!$F$26*CJ$5)</f>
        <v/>
      </c>
      <c r="CK15" s="65">
        <f>IF(CK$3=0,0,'OPEX'!$C$12*'الافتراضات'!$C$34*'الافتراضات'!$F$26*CK$5)</f>
        <v/>
      </c>
      <c r="CL15" s="65">
        <f>IF(CL$3=0,0,'OPEX'!$C$12*'الافتراضات'!$C$34*'الافتراضات'!$F$26*CL$5)</f>
        <v/>
      </c>
      <c r="CM15" s="65">
        <f>IF(CM$3=0,0,'OPEX'!$C$12*'الافتراضات'!$C$34*'الافتراضات'!$F$26*CM$5)</f>
        <v/>
      </c>
      <c r="CN15" s="65">
        <f>IF(CN$3=0,0,'OPEX'!$C$12*'الافتراضات'!$C$34*'الافتراضات'!$F$26*CN$5)</f>
        <v/>
      </c>
      <c r="CO15" s="65">
        <f>IF(CO$3=0,0,'OPEX'!$C$12*'الافتراضات'!$C$34*'الافتراضات'!$F$26*CO$5)</f>
        <v/>
      </c>
      <c r="CP15" s="65">
        <f>IF(CP$3=0,0,'OPEX'!$C$12*'الافتراضات'!$C$34*'الافتراضات'!$F$26*CP$5)</f>
        <v/>
      </c>
      <c r="CQ15" s="65">
        <f>IF(CQ$3=0,0,'OPEX'!$C$12*'الافتراضات'!$C$34*'الافتراضات'!$F$26*CQ$5)</f>
        <v/>
      </c>
      <c r="CR15" s="65">
        <f>IF(CR$3=0,0,'OPEX'!$C$12*'الافتراضات'!$C$34*'الافتراضات'!$F$26*CR$5)</f>
        <v/>
      </c>
      <c r="CS15" s="65">
        <f>IF(CS$3=0,0,'OPEX'!$C$12*'الافتراضات'!$C$34*'الافتراضات'!$F$26*CS$5)</f>
        <v/>
      </c>
      <c r="CT15" s="65">
        <f>IF(CT$3=0,0,'OPEX'!$C$12*'الافتراضات'!$C$34*'الافتراضات'!$F$26*CT$5)</f>
        <v/>
      </c>
      <c r="CU15" s="65">
        <f>IF(CU$3=0,0,'OPEX'!$C$12*'الافتراضات'!$C$34*'الافتراضات'!$F$26*CU$5)</f>
        <v/>
      </c>
      <c r="CV15" s="65">
        <f>IF(CV$3=0,0,'OPEX'!$C$12*'الافتراضات'!$C$34*'الافتراضات'!$F$26*CV$5)</f>
        <v/>
      </c>
      <c r="CW15" s="65">
        <f>IF(CW$3=0,0,'OPEX'!$C$12*'الافتراضات'!$C$34*'الافتراضات'!$F$26*CW$5)</f>
        <v/>
      </c>
      <c r="CX15" s="65">
        <f>IF(CX$3=0,0,'OPEX'!$C$12*'الافتراضات'!$C$34*'الافتراضات'!$F$26*CX$5)</f>
        <v/>
      </c>
      <c r="CY15" s="65">
        <f>IF(CY$3=0,0,'OPEX'!$C$12*'الافتراضات'!$C$34*'الافتراضات'!$F$26*CY$5)</f>
        <v/>
      </c>
      <c r="CZ15" s="65">
        <f>IF(CZ$3=0,0,'OPEX'!$C$12*'الافتراضات'!$C$34*'الافتراضات'!$F$26*CZ$5)</f>
        <v/>
      </c>
      <c r="DA15" s="65">
        <f>IF(DA$3=0,0,'OPEX'!$C$12*'الافتراضات'!$C$34*'الافتراضات'!$F$26*DA$5)</f>
        <v/>
      </c>
      <c r="DB15" s="65">
        <f>IF(DB$3=0,0,'OPEX'!$C$12*'الافتراضات'!$C$34*'الافتراضات'!$F$26*DB$5)</f>
        <v/>
      </c>
      <c r="DC15" s="65">
        <f>IF(DC$3=0,0,'OPEX'!$C$12*'الافتراضات'!$C$34*'الافتراضات'!$F$26*DC$5)</f>
        <v/>
      </c>
      <c r="DD15" s="65">
        <f>IF(DD$3=0,0,'OPEX'!$C$12*'الافتراضات'!$C$34*'الافتراضات'!$F$26*DD$5)</f>
        <v/>
      </c>
      <c r="DE15" s="65">
        <f>IF(DE$3=0,0,'OPEX'!$C$12*'الافتراضات'!$C$34*'الافتراضات'!$F$26*DE$5)</f>
        <v/>
      </c>
      <c r="DF15" s="65">
        <f>IF(DF$3=0,0,'OPEX'!$C$12*'الافتراضات'!$C$34*'الافتراضات'!$F$26*DF$5)</f>
        <v/>
      </c>
      <c r="DG15" s="65">
        <f>IF(DG$3=0,0,'OPEX'!$C$12*'الافتراضات'!$C$34*'الافتراضات'!$F$26*DG$5)</f>
        <v/>
      </c>
      <c r="DH15" s="65">
        <f>IF(DH$3=0,0,'OPEX'!$C$12*'الافتراضات'!$C$34*'الافتراضات'!$F$26*DH$5)</f>
        <v/>
      </c>
      <c r="DI15" s="65">
        <f>IF(DI$3=0,0,'OPEX'!$C$12*'الافتراضات'!$C$34*'الافتراضات'!$F$26*DI$5)</f>
        <v/>
      </c>
      <c r="DJ15" s="65">
        <f>IF(DJ$3=0,0,'OPEX'!$C$12*'الافتراضات'!$C$34*'الافتراضات'!$F$26*DJ$5)</f>
        <v/>
      </c>
      <c r="DK15" s="65">
        <f>IF(DK$3=0,0,'OPEX'!$C$12*'الافتراضات'!$C$34*'الافتراضات'!$F$26*DK$5)</f>
        <v/>
      </c>
      <c r="DL15" s="65">
        <f>IF(DL$3=0,0,'OPEX'!$C$12*'الافتراضات'!$C$34*'الافتراضات'!$F$26*DL$5)</f>
        <v/>
      </c>
      <c r="DM15" s="65">
        <f>IF(DM$3=0,0,'OPEX'!$C$12*'الافتراضات'!$C$34*'الافتراضات'!$F$26*DM$5)</f>
        <v/>
      </c>
      <c r="DN15" s="65">
        <f>IF(DN$3=0,0,'OPEX'!$C$12*'الافتراضات'!$C$34*'الافتراضات'!$F$26*DN$5)</f>
        <v/>
      </c>
      <c r="DO15" s="65">
        <f>IF(DO$3=0,0,'OPEX'!$C$12*'الافتراضات'!$C$34*'الافتراضات'!$F$26*DO$5)</f>
        <v/>
      </c>
      <c r="DP15" s="65">
        <f>IF(DP$3=0,0,'OPEX'!$C$12*'الافتراضات'!$C$34*'الافتراضات'!$F$26*DP$5)</f>
        <v/>
      </c>
      <c r="DQ15" s="65">
        <f>IF(DQ$3=0,0,'OPEX'!$C$12*'الافتراضات'!$C$34*'الافتراضات'!$F$26*DQ$5)</f>
        <v/>
      </c>
      <c r="DR15" s="65">
        <f>IF(DR$3=0,0,'OPEX'!$C$12*'الافتراضات'!$C$34*'الافتراضات'!$F$26*DR$5)</f>
        <v/>
      </c>
      <c r="DS15" s="65">
        <f>IF(DS$3=0,0,'OPEX'!$C$12*'الافتراضات'!$C$34*'الافتراضات'!$F$26*DS$5)</f>
        <v/>
      </c>
    </row>
    <row r="16">
      <c r="B16" s="22" t="inlineStr">
        <is>
          <t>قيمة السرس</t>
        </is>
      </c>
      <c r="C16" s="65">
        <f>IF(C$3=0,0,'OPEX'!$C$11*'الافتراضات'!$C$35*C$5)</f>
        <v/>
      </c>
      <c r="D16" s="65">
        <f>IF(D$3=0,0,'OPEX'!$C$11*'الافتراضات'!$C$35*D$5)</f>
        <v/>
      </c>
      <c r="E16" s="65">
        <f>IF(E$3=0,0,'OPEX'!$C$11*'الافتراضات'!$C$35*E$5)</f>
        <v/>
      </c>
      <c r="F16" s="65">
        <f>IF(F$3=0,0,'OPEX'!$C$11*'الافتراضات'!$C$35*F$5)</f>
        <v/>
      </c>
      <c r="G16" s="65">
        <f>IF(G$3=0,0,'OPEX'!$C$11*'الافتراضات'!$C$35*G$5)</f>
        <v/>
      </c>
      <c r="H16" s="65">
        <f>IF(H$3=0,0,'OPEX'!$C$11*'الافتراضات'!$C$35*H$5)</f>
        <v/>
      </c>
      <c r="I16" s="65">
        <f>IF(I$3=0,0,'OPEX'!$C$11*'الافتراضات'!$C$35*I$5)</f>
        <v/>
      </c>
      <c r="J16" s="65">
        <f>IF(J$3=0,0,'OPEX'!$C$11*'الافتراضات'!$C$35*J$5)</f>
        <v/>
      </c>
      <c r="K16" s="65">
        <f>IF(K$3=0,0,'OPEX'!$C$11*'الافتراضات'!$C$35*K$5)</f>
        <v/>
      </c>
      <c r="L16" s="65">
        <f>IF(L$3=0,0,'OPEX'!$C$11*'الافتراضات'!$C$35*L$5)</f>
        <v/>
      </c>
      <c r="M16" s="65">
        <f>IF(M$3=0,0,'OPEX'!$C$11*'الافتراضات'!$C$35*M$5)</f>
        <v/>
      </c>
      <c r="N16" s="65">
        <f>IF(N$3=0,0,'OPEX'!$C$11*'الافتراضات'!$C$35*N$5)</f>
        <v/>
      </c>
      <c r="O16" s="65">
        <f>IF(O$3=0,0,'OPEX'!$C$11*'الافتراضات'!$C$35*O$5)</f>
        <v/>
      </c>
      <c r="P16" s="65">
        <f>IF(P$3=0,0,'OPEX'!$C$11*'الافتراضات'!$C$35*P$5)</f>
        <v/>
      </c>
      <c r="Q16" s="65">
        <f>IF(Q$3=0,0,'OPEX'!$C$11*'الافتراضات'!$C$35*Q$5)</f>
        <v/>
      </c>
      <c r="R16" s="65">
        <f>IF(R$3=0,0,'OPEX'!$C$11*'الافتراضات'!$C$35*R$5)</f>
        <v/>
      </c>
      <c r="S16" s="65">
        <f>IF(S$3=0,0,'OPEX'!$C$11*'الافتراضات'!$C$35*S$5)</f>
        <v/>
      </c>
      <c r="T16" s="65">
        <f>IF(T$3=0,0,'OPEX'!$C$11*'الافتراضات'!$C$35*T$5)</f>
        <v/>
      </c>
      <c r="U16" s="65">
        <f>IF(U$3=0,0,'OPEX'!$C$11*'الافتراضات'!$C$35*U$5)</f>
        <v/>
      </c>
      <c r="V16" s="65">
        <f>IF(V$3=0,0,'OPEX'!$C$11*'الافتراضات'!$C$35*V$5)</f>
        <v/>
      </c>
      <c r="W16" s="65">
        <f>IF(W$3=0,0,'OPEX'!$C$11*'الافتراضات'!$C$35*W$5)</f>
        <v/>
      </c>
      <c r="X16" s="65">
        <f>IF(X$3=0,0,'OPEX'!$C$11*'الافتراضات'!$C$35*X$5)</f>
        <v/>
      </c>
      <c r="Y16" s="65">
        <f>IF(Y$3=0,0,'OPEX'!$C$11*'الافتراضات'!$C$35*Y$5)</f>
        <v/>
      </c>
      <c r="Z16" s="65">
        <f>IF(Z$3=0,0,'OPEX'!$C$11*'الافتراضات'!$C$35*Z$5)</f>
        <v/>
      </c>
      <c r="AA16" s="65">
        <f>IF(AA$3=0,0,'OPEX'!$C$11*'الافتراضات'!$C$35*AA$5)</f>
        <v/>
      </c>
      <c r="AB16" s="65">
        <f>IF(AB$3=0,0,'OPEX'!$C$11*'الافتراضات'!$C$35*AB$5)</f>
        <v/>
      </c>
      <c r="AC16" s="65">
        <f>IF(AC$3=0,0,'OPEX'!$C$11*'الافتراضات'!$C$35*AC$5)</f>
        <v/>
      </c>
      <c r="AD16" s="65">
        <f>IF(AD$3=0,0,'OPEX'!$C$11*'الافتراضات'!$C$35*AD$5)</f>
        <v/>
      </c>
      <c r="AE16" s="65">
        <f>IF(AE$3=0,0,'OPEX'!$C$11*'الافتراضات'!$C$35*AE$5)</f>
        <v/>
      </c>
      <c r="AF16" s="65">
        <f>IF(AF$3=0,0,'OPEX'!$C$11*'الافتراضات'!$C$35*AF$5)</f>
        <v/>
      </c>
      <c r="AG16" s="65">
        <f>IF(AG$3=0,0,'OPEX'!$C$11*'الافتراضات'!$C$35*AG$5)</f>
        <v/>
      </c>
      <c r="AH16" s="65">
        <f>IF(AH$3=0,0,'OPEX'!$C$11*'الافتراضات'!$C$35*AH$5)</f>
        <v/>
      </c>
      <c r="AI16" s="65">
        <f>IF(AI$3=0,0,'OPEX'!$C$11*'الافتراضات'!$C$35*AI$5)</f>
        <v/>
      </c>
      <c r="AJ16" s="65">
        <f>IF(AJ$3=0,0,'OPEX'!$C$11*'الافتراضات'!$C$35*AJ$5)</f>
        <v/>
      </c>
      <c r="AK16" s="65">
        <f>IF(AK$3=0,0,'OPEX'!$C$11*'الافتراضات'!$C$35*AK$5)</f>
        <v/>
      </c>
      <c r="AL16" s="65">
        <f>IF(AL$3=0,0,'OPEX'!$C$11*'الافتراضات'!$C$35*AL$5)</f>
        <v/>
      </c>
      <c r="AM16" s="65">
        <f>IF(AM$3=0,0,'OPEX'!$C$11*'الافتراضات'!$C$35*AM$5)</f>
        <v/>
      </c>
      <c r="AN16" s="65">
        <f>IF(AN$3=0,0,'OPEX'!$C$11*'الافتراضات'!$C$35*AN$5)</f>
        <v/>
      </c>
      <c r="AO16" s="65">
        <f>IF(AO$3=0,0,'OPEX'!$C$11*'الافتراضات'!$C$35*AO$5)</f>
        <v/>
      </c>
      <c r="AP16" s="65">
        <f>IF(AP$3=0,0,'OPEX'!$C$11*'الافتراضات'!$C$35*AP$5)</f>
        <v/>
      </c>
      <c r="AQ16" s="65">
        <f>IF(AQ$3=0,0,'OPEX'!$C$11*'الافتراضات'!$C$35*AQ$5)</f>
        <v/>
      </c>
      <c r="AR16" s="65">
        <f>IF(AR$3=0,0,'OPEX'!$C$11*'الافتراضات'!$C$35*AR$5)</f>
        <v/>
      </c>
      <c r="AS16" s="65">
        <f>IF(AS$3=0,0,'OPEX'!$C$11*'الافتراضات'!$C$35*AS$5)</f>
        <v/>
      </c>
      <c r="AT16" s="65">
        <f>IF(AT$3=0,0,'OPEX'!$C$11*'الافتراضات'!$C$35*AT$5)</f>
        <v/>
      </c>
      <c r="AU16" s="65">
        <f>IF(AU$3=0,0,'OPEX'!$C$11*'الافتراضات'!$C$35*AU$5)</f>
        <v/>
      </c>
      <c r="AV16" s="65">
        <f>IF(AV$3=0,0,'OPEX'!$C$11*'الافتراضات'!$C$35*AV$5)</f>
        <v/>
      </c>
      <c r="AW16" s="65">
        <f>IF(AW$3=0,0,'OPEX'!$C$11*'الافتراضات'!$C$35*AW$5)</f>
        <v/>
      </c>
      <c r="AX16" s="65">
        <f>IF(AX$3=0,0,'OPEX'!$C$11*'الافتراضات'!$C$35*AX$5)</f>
        <v/>
      </c>
      <c r="AY16" s="65">
        <f>IF(AY$3=0,0,'OPEX'!$C$11*'الافتراضات'!$C$35*AY$5)</f>
        <v/>
      </c>
      <c r="AZ16" s="65">
        <f>IF(AZ$3=0,0,'OPEX'!$C$11*'الافتراضات'!$C$35*AZ$5)</f>
        <v/>
      </c>
      <c r="BA16" s="65">
        <f>IF(BA$3=0,0,'OPEX'!$C$11*'الافتراضات'!$C$35*BA$5)</f>
        <v/>
      </c>
      <c r="BB16" s="65">
        <f>IF(BB$3=0,0,'OPEX'!$C$11*'الافتراضات'!$C$35*BB$5)</f>
        <v/>
      </c>
      <c r="BC16" s="65">
        <f>IF(BC$3=0,0,'OPEX'!$C$11*'الافتراضات'!$C$35*BC$5)</f>
        <v/>
      </c>
      <c r="BD16" s="65">
        <f>IF(BD$3=0,0,'OPEX'!$C$11*'الافتراضات'!$C$35*BD$5)</f>
        <v/>
      </c>
      <c r="BE16" s="65">
        <f>IF(BE$3=0,0,'OPEX'!$C$11*'الافتراضات'!$C$35*BE$5)</f>
        <v/>
      </c>
      <c r="BF16" s="65">
        <f>IF(BF$3=0,0,'OPEX'!$C$11*'الافتراضات'!$C$35*BF$5)</f>
        <v/>
      </c>
      <c r="BG16" s="65">
        <f>IF(BG$3=0,0,'OPEX'!$C$11*'الافتراضات'!$C$35*BG$5)</f>
        <v/>
      </c>
      <c r="BH16" s="65">
        <f>IF(BH$3=0,0,'OPEX'!$C$11*'الافتراضات'!$C$35*BH$5)</f>
        <v/>
      </c>
      <c r="BI16" s="65">
        <f>IF(BI$3=0,0,'OPEX'!$C$11*'الافتراضات'!$C$35*BI$5)</f>
        <v/>
      </c>
      <c r="BJ16" s="65">
        <f>IF(BJ$3=0,0,'OPEX'!$C$11*'الافتراضات'!$C$35*BJ$5)</f>
        <v/>
      </c>
      <c r="BK16" s="65">
        <f>IF(BK$3=0,0,'OPEX'!$C$11*'الافتراضات'!$C$35*BK$5)</f>
        <v/>
      </c>
      <c r="BL16" s="65">
        <f>IF(BL$3=0,0,'OPEX'!$C$11*'الافتراضات'!$C$35*BL$5)</f>
        <v/>
      </c>
      <c r="BM16" s="65">
        <f>IF(BM$3=0,0,'OPEX'!$C$11*'الافتراضات'!$C$35*BM$5)</f>
        <v/>
      </c>
      <c r="BN16" s="65">
        <f>IF(BN$3=0,0,'OPEX'!$C$11*'الافتراضات'!$C$35*BN$5)</f>
        <v/>
      </c>
      <c r="BO16" s="65">
        <f>IF(BO$3=0,0,'OPEX'!$C$11*'الافتراضات'!$C$35*BO$5)</f>
        <v/>
      </c>
      <c r="BP16" s="65">
        <f>IF(BP$3=0,0,'OPEX'!$C$11*'الافتراضات'!$C$35*BP$5)</f>
        <v/>
      </c>
      <c r="BQ16" s="65">
        <f>IF(BQ$3=0,0,'OPEX'!$C$11*'الافتراضات'!$C$35*BQ$5)</f>
        <v/>
      </c>
      <c r="BR16" s="65">
        <f>IF(BR$3=0,0,'OPEX'!$C$11*'الافتراضات'!$C$35*BR$5)</f>
        <v/>
      </c>
      <c r="BS16" s="65">
        <f>IF(BS$3=0,0,'OPEX'!$C$11*'الافتراضات'!$C$35*BS$5)</f>
        <v/>
      </c>
      <c r="BT16" s="65">
        <f>IF(BT$3=0,0,'OPEX'!$C$11*'الافتراضات'!$C$35*BT$5)</f>
        <v/>
      </c>
      <c r="BU16" s="65">
        <f>IF(BU$3=0,0,'OPEX'!$C$11*'الافتراضات'!$C$35*BU$5)</f>
        <v/>
      </c>
      <c r="BV16" s="65">
        <f>IF(BV$3=0,0,'OPEX'!$C$11*'الافتراضات'!$C$35*BV$5)</f>
        <v/>
      </c>
      <c r="BW16" s="65">
        <f>IF(BW$3=0,0,'OPEX'!$C$11*'الافتراضات'!$C$35*BW$5)</f>
        <v/>
      </c>
      <c r="BX16" s="65">
        <f>IF(BX$3=0,0,'OPEX'!$C$11*'الافتراضات'!$C$35*BX$5)</f>
        <v/>
      </c>
      <c r="BY16" s="65">
        <f>IF(BY$3=0,0,'OPEX'!$C$11*'الافتراضات'!$C$35*BY$5)</f>
        <v/>
      </c>
      <c r="BZ16" s="65">
        <f>IF(BZ$3=0,0,'OPEX'!$C$11*'الافتراضات'!$C$35*BZ$5)</f>
        <v/>
      </c>
      <c r="CA16" s="65">
        <f>IF(CA$3=0,0,'OPEX'!$C$11*'الافتراضات'!$C$35*CA$5)</f>
        <v/>
      </c>
      <c r="CB16" s="65">
        <f>IF(CB$3=0,0,'OPEX'!$C$11*'الافتراضات'!$C$35*CB$5)</f>
        <v/>
      </c>
      <c r="CC16" s="65">
        <f>IF(CC$3=0,0,'OPEX'!$C$11*'الافتراضات'!$C$35*CC$5)</f>
        <v/>
      </c>
      <c r="CD16" s="65">
        <f>IF(CD$3=0,0,'OPEX'!$C$11*'الافتراضات'!$C$35*CD$5)</f>
        <v/>
      </c>
      <c r="CE16" s="65">
        <f>IF(CE$3=0,0,'OPEX'!$C$11*'الافتراضات'!$C$35*CE$5)</f>
        <v/>
      </c>
      <c r="CF16" s="65">
        <f>IF(CF$3=0,0,'OPEX'!$C$11*'الافتراضات'!$C$35*CF$5)</f>
        <v/>
      </c>
      <c r="CG16" s="65">
        <f>IF(CG$3=0,0,'OPEX'!$C$11*'الافتراضات'!$C$35*CG$5)</f>
        <v/>
      </c>
      <c r="CH16" s="65">
        <f>IF(CH$3=0,0,'OPEX'!$C$11*'الافتراضات'!$C$35*CH$5)</f>
        <v/>
      </c>
      <c r="CI16" s="65">
        <f>IF(CI$3=0,0,'OPEX'!$C$11*'الافتراضات'!$C$35*CI$5)</f>
        <v/>
      </c>
      <c r="CJ16" s="65">
        <f>IF(CJ$3=0,0,'OPEX'!$C$11*'الافتراضات'!$C$35*CJ$5)</f>
        <v/>
      </c>
      <c r="CK16" s="65">
        <f>IF(CK$3=0,0,'OPEX'!$C$11*'الافتراضات'!$C$35*CK$5)</f>
        <v/>
      </c>
      <c r="CL16" s="65">
        <f>IF(CL$3=0,0,'OPEX'!$C$11*'الافتراضات'!$C$35*CL$5)</f>
        <v/>
      </c>
      <c r="CM16" s="65">
        <f>IF(CM$3=0,0,'OPEX'!$C$11*'الافتراضات'!$C$35*CM$5)</f>
        <v/>
      </c>
      <c r="CN16" s="65">
        <f>IF(CN$3=0,0,'OPEX'!$C$11*'الافتراضات'!$C$35*CN$5)</f>
        <v/>
      </c>
      <c r="CO16" s="65">
        <f>IF(CO$3=0,0,'OPEX'!$C$11*'الافتراضات'!$C$35*CO$5)</f>
        <v/>
      </c>
      <c r="CP16" s="65">
        <f>IF(CP$3=0,0,'OPEX'!$C$11*'الافتراضات'!$C$35*CP$5)</f>
        <v/>
      </c>
      <c r="CQ16" s="65">
        <f>IF(CQ$3=0,0,'OPEX'!$C$11*'الافتراضات'!$C$35*CQ$5)</f>
        <v/>
      </c>
      <c r="CR16" s="65">
        <f>IF(CR$3=0,0,'OPEX'!$C$11*'الافتراضات'!$C$35*CR$5)</f>
        <v/>
      </c>
      <c r="CS16" s="65">
        <f>IF(CS$3=0,0,'OPEX'!$C$11*'الافتراضات'!$C$35*CS$5)</f>
        <v/>
      </c>
      <c r="CT16" s="65">
        <f>IF(CT$3=0,0,'OPEX'!$C$11*'الافتراضات'!$C$35*CT$5)</f>
        <v/>
      </c>
      <c r="CU16" s="65">
        <f>IF(CU$3=0,0,'OPEX'!$C$11*'الافتراضات'!$C$35*CU$5)</f>
        <v/>
      </c>
      <c r="CV16" s="65">
        <f>IF(CV$3=0,0,'OPEX'!$C$11*'الافتراضات'!$C$35*CV$5)</f>
        <v/>
      </c>
      <c r="CW16" s="65">
        <f>IF(CW$3=0,0,'OPEX'!$C$11*'الافتراضات'!$C$35*CW$5)</f>
        <v/>
      </c>
      <c r="CX16" s="65">
        <f>IF(CX$3=0,0,'OPEX'!$C$11*'الافتراضات'!$C$35*CX$5)</f>
        <v/>
      </c>
      <c r="CY16" s="65">
        <f>IF(CY$3=0,0,'OPEX'!$C$11*'الافتراضات'!$C$35*CY$5)</f>
        <v/>
      </c>
      <c r="CZ16" s="65">
        <f>IF(CZ$3=0,0,'OPEX'!$C$11*'الافتراضات'!$C$35*CZ$5)</f>
        <v/>
      </c>
      <c r="DA16" s="65">
        <f>IF(DA$3=0,0,'OPEX'!$C$11*'الافتراضات'!$C$35*DA$5)</f>
        <v/>
      </c>
      <c r="DB16" s="65">
        <f>IF(DB$3=0,0,'OPEX'!$C$11*'الافتراضات'!$C$35*DB$5)</f>
        <v/>
      </c>
      <c r="DC16" s="65">
        <f>IF(DC$3=0,0,'OPEX'!$C$11*'الافتراضات'!$C$35*DC$5)</f>
        <v/>
      </c>
      <c r="DD16" s="65">
        <f>IF(DD$3=0,0,'OPEX'!$C$11*'الافتراضات'!$C$35*DD$5)</f>
        <v/>
      </c>
      <c r="DE16" s="65">
        <f>IF(DE$3=0,0,'OPEX'!$C$11*'الافتراضات'!$C$35*DE$5)</f>
        <v/>
      </c>
      <c r="DF16" s="65">
        <f>IF(DF$3=0,0,'OPEX'!$C$11*'الافتراضات'!$C$35*DF$5)</f>
        <v/>
      </c>
      <c r="DG16" s="65">
        <f>IF(DG$3=0,0,'OPEX'!$C$11*'الافتراضات'!$C$35*DG$5)</f>
        <v/>
      </c>
      <c r="DH16" s="65">
        <f>IF(DH$3=0,0,'OPEX'!$C$11*'الافتراضات'!$C$35*DH$5)</f>
        <v/>
      </c>
      <c r="DI16" s="65">
        <f>IF(DI$3=0,0,'OPEX'!$C$11*'الافتراضات'!$C$35*DI$5)</f>
        <v/>
      </c>
      <c r="DJ16" s="65">
        <f>IF(DJ$3=0,0,'OPEX'!$C$11*'الافتراضات'!$C$35*DJ$5)</f>
        <v/>
      </c>
      <c r="DK16" s="65">
        <f>IF(DK$3=0,0,'OPEX'!$C$11*'الافتراضات'!$C$35*DK$5)</f>
        <v/>
      </c>
      <c r="DL16" s="65">
        <f>IF(DL$3=0,0,'OPEX'!$C$11*'الافتراضات'!$C$35*DL$5)</f>
        <v/>
      </c>
      <c r="DM16" s="65">
        <f>IF(DM$3=0,0,'OPEX'!$C$11*'الافتراضات'!$C$35*DM$5)</f>
        <v/>
      </c>
      <c r="DN16" s="65">
        <f>IF(DN$3=0,0,'OPEX'!$C$11*'الافتراضات'!$C$35*DN$5)</f>
        <v/>
      </c>
      <c r="DO16" s="65">
        <f>IF(DO$3=0,0,'OPEX'!$C$11*'الافتراضات'!$C$35*DO$5)</f>
        <v/>
      </c>
      <c r="DP16" s="65">
        <f>IF(DP$3=0,0,'OPEX'!$C$11*'الافتراضات'!$C$35*DP$5)</f>
        <v/>
      </c>
      <c r="DQ16" s="65">
        <f>IF(DQ$3=0,0,'OPEX'!$C$11*'الافتراضات'!$C$35*DQ$5)</f>
        <v/>
      </c>
      <c r="DR16" s="65">
        <f>IF(DR$3=0,0,'OPEX'!$C$11*'الافتراضات'!$C$35*DR$5)</f>
        <v/>
      </c>
      <c r="DS16" s="65">
        <f>IF(DS$3=0,0,'OPEX'!$C$11*'الافتراضات'!$C$35*DS$5)</f>
        <v/>
      </c>
    </row>
    <row r="17">
      <c r="B17" s="34" t="inlineStr">
        <is>
          <t>إجمالي الإيرادات</t>
        </is>
      </c>
      <c r="C17" s="66">
        <f>SUM(C14:C16)</f>
        <v/>
      </c>
      <c r="D17" s="66">
        <f>SUM(D14:D16)</f>
        <v/>
      </c>
      <c r="E17" s="66">
        <f>SUM(E14:E16)</f>
        <v/>
      </c>
      <c r="F17" s="66">
        <f>SUM(F14:F16)</f>
        <v/>
      </c>
      <c r="G17" s="66">
        <f>SUM(G14:G16)</f>
        <v/>
      </c>
      <c r="H17" s="66">
        <f>SUM(H14:H16)</f>
        <v/>
      </c>
      <c r="I17" s="66">
        <f>SUM(I14:I16)</f>
        <v/>
      </c>
      <c r="J17" s="66">
        <f>SUM(J14:J16)</f>
        <v/>
      </c>
      <c r="K17" s="66">
        <f>SUM(K14:K16)</f>
        <v/>
      </c>
      <c r="L17" s="66">
        <f>SUM(L14:L16)</f>
        <v/>
      </c>
      <c r="M17" s="66">
        <f>SUM(M14:M16)</f>
        <v/>
      </c>
      <c r="N17" s="66">
        <f>SUM(N14:N16)</f>
        <v/>
      </c>
      <c r="O17" s="66">
        <f>SUM(O14:O16)</f>
        <v/>
      </c>
      <c r="P17" s="66">
        <f>SUM(P14:P16)</f>
        <v/>
      </c>
      <c r="Q17" s="66">
        <f>SUM(Q14:Q16)</f>
        <v/>
      </c>
      <c r="R17" s="66">
        <f>SUM(R14:R16)</f>
        <v/>
      </c>
      <c r="S17" s="66">
        <f>SUM(S14:S16)</f>
        <v/>
      </c>
      <c r="T17" s="66">
        <f>SUM(T14:T16)</f>
        <v/>
      </c>
      <c r="U17" s="66">
        <f>SUM(U14:U16)</f>
        <v/>
      </c>
      <c r="V17" s="66">
        <f>SUM(V14:V16)</f>
        <v/>
      </c>
      <c r="W17" s="66">
        <f>SUM(W14:W16)</f>
        <v/>
      </c>
      <c r="X17" s="66">
        <f>SUM(X14:X16)</f>
        <v/>
      </c>
      <c r="Y17" s="66">
        <f>SUM(Y14:Y16)</f>
        <v/>
      </c>
      <c r="Z17" s="66">
        <f>SUM(Z14:Z16)</f>
        <v/>
      </c>
      <c r="AA17" s="66">
        <f>SUM(AA14:AA16)</f>
        <v/>
      </c>
      <c r="AB17" s="66">
        <f>SUM(AB14:AB16)</f>
        <v/>
      </c>
      <c r="AC17" s="66">
        <f>SUM(AC14:AC16)</f>
        <v/>
      </c>
      <c r="AD17" s="66">
        <f>SUM(AD14:AD16)</f>
        <v/>
      </c>
      <c r="AE17" s="66">
        <f>SUM(AE14:AE16)</f>
        <v/>
      </c>
      <c r="AF17" s="66">
        <f>SUM(AF14:AF16)</f>
        <v/>
      </c>
      <c r="AG17" s="66">
        <f>SUM(AG14:AG16)</f>
        <v/>
      </c>
      <c r="AH17" s="66">
        <f>SUM(AH14:AH16)</f>
        <v/>
      </c>
      <c r="AI17" s="66">
        <f>SUM(AI14:AI16)</f>
        <v/>
      </c>
      <c r="AJ17" s="66">
        <f>SUM(AJ14:AJ16)</f>
        <v/>
      </c>
      <c r="AK17" s="66">
        <f>SUM(AK14:AK16)</f>
        <v/>
      </c>
      <c r="AL17" s="66">
        <f>SUM(AL14:AL16)</f>
        <v/>
      </c>
      <c r="AM17" s="66">
        <f>SUM(AM14:AM16)</f>
        <v/>
      </c>
      <c r="AN17" s="66">
        <f>SUM(AN14:AN16)</f>
        <v/>
      </c>
      <c r="AO17" s="66">
        <f>SUM(AO14:AO16)</f>
        <v/>
      </c>
      <c r="AP17" s="66">
        <f>SUM(AP14:AP16)</f>
        <v/>
      </c>
      <c r="AQ17" s="66">
        <f>SUM(AQ14:AQ16)</f>
        <v/>
      </c>
      <c r="AR17" s="66">
        <f>SUM(AR14:AR16)</f>
        <v/>
      </c>
      <c r="AS17" s="66">
        <f>SUM(AS14:AS16)</f>
        <v/>
      </c>
      <c r="AT17" s="66">
        <f>SUM(AT14:AT16)</f>
        <v/>
      </c>
      <c r="AU17" s="66">
        <f>SUM(AU14:AU16)</f>
        <v/>
      </c>
      <c r="AV17" s="66">
        <f>SUM(AV14:AV16)</f>
        <v/>
      </c>
      <c r="AW17" s="66">
        <f>SUM(AW14:AW16)</f>
        <v/>
      </c>
      <c r="AX17" s="66">
        <f>SUM(AX14:AX16)</f>
        <v/>
      </c>
      <c r="AY17" s="66">
        <f>SUM(AY14:AY16)</f>
        <v/>
      </c>
      <c r="AZ17" s="66">
        <f>SUM(AZ14:AZ16)</f>
        <v/>
      </c>
      <c r="BA17" s="66">
        <f>SUM(BA14:BA16)</f>
        <v/>
      </c>
      <c r="BB17" s="66">
        <f>SUM(BB14:BB16)</f>
        <v/>
      </c>
      <c r="BC17" s="66">
        <f>SUM(BC14:BC16)</f>
        <v/>
      </c>
      <c r="BD17" s="66">
        <f>SUM(BD14:BD16)</f>
        <v/>
      </c>
      <c r="BE17" s="66">
        <f>SUM(BE14:BE16)</f>
        <v/>
      </c>
      <c r="BF17" s="66">
        <f>SUM(BF14:BF16)</f>
        <v/>
      </c>
      <c r="BG17" s="66">
        <f>SUM(BG14:BG16)</f>
        <v/>
      </c>
      <c r="BH17" s="66">
        <f>SUM(BH14:BH16)</f>
        <v/>
      </c>
      <c r="BI17" s="66">
        <f>SUM(BI14:BI16)</f>
        <v/>
      </c>
      <c r="BJ17" s="66">
        <f>SUM(BJ14:BJ16)</f>
        <v/>
      </c>
      <c r="BK17" s="66">
        <f>SUM(BK14:BK16)</f>
        <v/>
      </c>
      <c r="BL17" s="66">
        <f>SUM(BL14:BL16)</f>
        <v/>
      </c>
      <c r="BM17" s="66">
        <f>SUM(BM14:BM16)</f>
        <v/>
      </c>
      <c r="BN17" s="66">
        <f>SUM(BN14:BN16)</f>
        <v/>
      </c>
      <c r="BO17" s="66">
        <f>SUM(BO14:BO16)</f>
        <v/>
      </c>
      <c r="BP17" s="66">
        <f>SUM(BP14:BP16)</f>
        <v/>
      </c>
      <c r="BQ17" s="66">
        <f>SUM(BQ14:BQ16)</f>
        <v/>
      </c>
      <c r="BR17" s="66">
        <f>SUM(BR14:BR16)</f>
        <v/>
      </c>
      <c r="BS17" s="66">
        <f>SUM(BS14:BS16)</f>
        <v/>
      </c>
      <c r="BT17" s="66">
        <f>SUM(BT14:BT16)</f>
        <v/>
      </c>
      <c r="BU17" s="66">
        <f>SUM(BU14:BU16)</f>
        <v/>
      </c>
      <c r="BV17" s="66">
        <f>SUM(BV14:BV16)</f>
        <v/>
      </c>
      <c r="BW17" s="66">
        <f>SUM(BW14:BW16)</f>
        <v/>
      </c>
      <c r="BX17" s="66">
        <f>SUM(BX14:BX16)</f>
        <v/>
      </c>
      <c r="BY17" s="66">
        <f>SUM(BY14:BY16)</f>
        <v/>
      </c>
      <c r="BZ17" s="66">
        <f>SUM(BZ14:BZ16)</f>
        <v/>
      </c>
      <c r="CA17" s="66">
        <f>SUM(CA14:CA16)</f>
        <v/>
      </c>
      <c r="CB17" s="66">
        <f>SUM(CB14:CB16)</f>
        <v/>
      </c>
      <c r="CC17" s="66">
        <f>SUM(CC14:CC16)</f>
        <v/>
      </c>
      <c r="CD17" s="66">
        <f>SUM(CD14:CD16)</f>
        <v/>
      </c>
      <c r="CE17" s="66">
        <f>SUM(CE14:CE16)</f>
        <v/>
      </c>
      <c r="CF17" s="66">
        <f>SUM(CF14:CF16)</f>
        <v/>
      </c>
      <c r="CG17" s="66">
        <f>SUM(CG14:CG16)</f>
        <v/>
      </c>
      <c r="CH17" s="66">
        <f>SUM(CH14:CH16)</f>
        <v/>
      </c>
      <c r="CI17" s="66">
        <f>SUM(CI14:CI16)</f>
        <v/>
      </c>
      <c r="CJ17" s="66">
        <f>SUM(CJ14:CJ16)</f>
        <v/>
      </c>
      <c r="CK17" s="66">
        <f>SUM(CK14:CK16)</f>
        <v/>
      </c>
      <c r="CL17" s="66">
        <f>SUM(CL14:CL16)</f>
        <v/>
      </c>
      <c r="CM17" s="66">
        <f>SUM(CM14:CM16)</f>
        <v/>
      </c>
      <c r="CN17" s="66">
        <f>SUM(CN14:CN16)</f>
        <v/>
      </c>
      <c r="CO17" s="66">
        <f>SUM(CO14:CO16)</f>
        <v/>
      </c>
      <c r="CP17" s="66">
        <f>SUM(CP14:CP16)</f>
        <v/>
      </c>
      <c r="CQ17" s="66">
        <f>SUM(CQ14:CQ16)</f>
        <v/>
      </c>
      <c r="CR17" s="66">
        <f>SUM(CR14:CR16)</f>
        <v/>
      </c>
      <c r="CS17" s="66">
        <f>SUM(CS14:CS16)</f>
        <v/>
      </c>
      <c r="CT17" s="66">
        <f>SUM(CT14:CT16)</f>
        <v/>
      </c>
      <c r="CU17" s="66">
        <f>SUM(CU14:CU16)</f>
        <v/>
      </c>
      <c r="CV17" s="66">
        <f>SUM(CV14:CV16)</f>
        <v/>
      </c>
      <c r="CW17" s="66">
        <f>SUM(CW14:CW16)</f>
        <v/>
      </c>
      <c r="CX17" s="66">
        <f>SUM(CX14:CX16)</f>
        <v/>
      </c>
      <c r="CY17" s="66">
        <f>SUM(CY14:CY16)</f>
        <v/>
      </c>
      <c r="CZ17" s="66">
        <f>SUM(CZ14:CZ16)</f>
        <v/>
      </c>
      <c r="DA17" s="66">
        <f>SUM(DA14:DA16)</f>
        <v/>
      </c>
      <c r="DB17" s="66">
        <f>SUM(DB14:DB16)</f>
        <v/>
      </c>
      <c r="DC17" s="66">
        <f>SUM(DC14:DC16)</f>
        <v/>
      </c>
      <c r="DD17" s="66">
        <f>SUM(DD14:DD16)</f>
        <v/>
      </c>
      <c r="DE17" s="66">
        <f>SUM(DE14:DE16)</f>
        <v/>
      </c>
      <c r="DF17" s="66">
        <f>SUM(DF14:DF16)</f>
        <v/>
      </c>
      <c r="DG17" s="66">
        <f>SUM(DG14:DG16)</f>
        <v/>
      </c>
      <c r="DH17" s="66">
        <f>SUM(DH14:DH16)</f>
        <v/>
      </c>
      <c r="DI17" s="66">
        <f>SUM(DI14:DI16)</f>
        <v/>
      </c>
      <c r="DJ17" s="66">
        <f>SUM(DJ14:DJ16)</f>
        <v/>
      </c>
      <c r="DK17" s="66">
        <f>SUM(DK14:DK16)</f>
        <v/>
      </c>
      <c r="DL17" s="66">
        <f>SUM(DL14:DL16)</f>
        <v/>
      </c>
      <c r="DM17" s="66">
        <f>SUM(DM14:DM16)</f>
        <v/>
      </c>
      <c r="DN17" s="66">
        <f>SUM(DN14:DN16)</f>
        <v/>
      </c>
      <c r="DO17" s="66">
        <f>SUM(DO14:DO16)</f>
        <v/>
      </c>
      <c r="DP17" s="66">
        <f>SUM(DP14:DP16)</f>
        <v/>
      </c>
      <c r="DQ17" s="66">
        <f>SUM(DQ14:DQ16)</f>
        <v/>
      </c>
      <c r="DR17" s="66">
        <f>SUM(DR14:DR16)</f>
        <v/>
      </c>
      <c r="DS17" s="66">
        <f>SUM(DS14:DS16)</f>
        <v/>
      </c>
    </row>
    <row r="18">
      <c r="B18" s="22" t="inlineStr">
        <is>
          <t>تكلفة شراء الشعير</t>
        </is>
      </c>
      <c r="C18" s="65">
        <f>IF(C$3=0,0,'OPEX'!$C$7*'الافتراضات'!$C$32*'الافتراضات'!$F$24*C$6)</f>
        <v/>
      </c>
      <c r="D18" s="65">
        <f>IF(D$3=0,0,'OPEX'!$C$7*'الافتراضات'!$C$32*'الافتراضات'!$F$24*D$6)</f>
        <v/>
      </c>
      <c r="E18" s="65">
        <f>IF(E$3=0,0,'OPEX'!$C$7*'الافتراضات'!$C$32*'الافتراضات'!$F$24*E$6)</f>
        <v/>
      </c>
      <c r="F18" s="65">
        <f>IF(F$3=0,0,'OPEX'!$C$7*'الافتراضات'!$C$32*'الافتراضات'!$F$24*F$6)</f>
        <v/>
      </c>
      <c r="G18" s="65">
        <f>IF(G$3=0,0,'OPEX'!$C$7*'الافتراضات'!$C$32*'الافتراضات'!$F$24*G$6)</f>
        <v/>
      </c>
      <c r="H18" s="65">
        <f>IF(H$3=0,0,'OPEX'!$C$7*'الافتراضات'!$C$32*'الافتراضات'!$F$24*H$6)</f>
        <v/>
      </c>
      <c r="I18" s="65">
        <f>IF(I$3=0,0,'OPEX'!$C$7*'الافتراضات'!$C$32*'الافتراضات'!$F$24*I$6)</f>
        <v/>
      </c>
      <c r="J18" s="65">
        <f>IF(J$3=0,0,'OPEX'!$C$7*'الافتراضات'!$C$32*'الافتراضات'!$F$24*J$6)</f>
        <v/>
      </c>
      <c r="K18" s="65">
        <f>IF(K$3=0,0,'OPEX'!$C$7*'الافتراضات'!$C$32*'الافتراضات'!$F$24*K$6)</f>
        <v/>
      </c>
      <c r="L18" s="65">
        <f>IF(L$3=0,0,'OPEX'!$C$7*'الافتراضات'!$C$32*'الافتراضات'!$F$24*L$6)</f>
        <v/>
      </c>
      <c r="M18" s="65">
        <f>IF(M$3=0,0,'OPEX'!$C$7*'الافتراضات'!$C$32*'الافتراضات'!$F$24*M$6)</f>
        <v/>
      </c>
      <c r="N18" s="65">
        <f>IF(N$3=0,0,'OPEX'!$C$7*'الافتراضات'!$C$32*'الافتراضات'!$F$24*N$6)</f>
        <v/>
      </c>
      <c r="O18" s="65">
        <f>IF(O$3=0,0,'OPEX'!$C$7*'الافتراضات'!$C$32*'الافتراضات'!$F$24*O$6)</f>
        <v/>
      </c>
      <c r="P18" s="65">
        <f>IF(P$3=0,0,'OPEX'!$C$7*'الافتراضات'!$C$32*'الافتراضات'!$F$24*P$6)</f>
        <v/>
      </c>
      <c r="Q18" s="65">
        <f>IF(Q$3=0,0,'OPEX'!$C$7*'الافتراضات'!$C$32*'الافتراضات'!$F$24*Q$6)</f>
        <v/>
      </c>
      <c r="R18" s="65">
        <f>IF(R$3=0,0,'OPEX'!$C$7*'الافتراضات'!$C$32*'الافتراضات'!$F$24*R$6)</f>
        <v/>
      </c>
      <c r="S18" s="65">
        <f>IF(S$3=0,0,'OPEX'!$C$7*'الافتراضات'!$C$32*'الافتراضات'!$F$24*S$6)</f>
        <v/>
      </c>
      <c r="T18" s="65">
        <f>IF(T$3=0,0,'OPEX'!$C$7*'الافتراضات'!$C$32*'الافتراضات'!$F$24*T$6)</f>
        <v/>
      </c>
      <c r="U18" s="65">
        <f>IF(U$3=0,0,'OPEX'!$C$7*'الافتراضات'!$C$32*'الافتراضات'!$F$24*U$6)</f>
        <v/>
      </c>
      <c r="V18" s="65">
        <f>IF(V$3=0,0,'OPEX'!$C$7*'الافتراضات'!$C$32*'الافتراضات'!$F$24*V$6)</f>
        <v/>
      </c>
      <c r="W18" s="65">
        <f>IF(W$3=0,0,'OPEX'!$C$7*'الافتراضات'!$C$32*'الافتراضات'!$F$24*W$6)</f>
        <v/>
      </c>
      <c r="X18" s="65">
        <f>IF(X$3=0,0,'OPEX'!$C$7*'الافتراضات'!$C$32*'الافتراضات'!$F$24*X$6)</f>
        <v/>
      </c>
      <c r="Y18" s="65">
        <f>IF(Y$3=0,0,'OPEX'!$C$7*'الافتراضات'!$C$32*'الافتراضات'!$F$24*Y$6)</f>
        <v/>
      </c>
      <c r="Z18" s="65">
        <f>IF(Z$3=0,0,'OPEX'!$C$7*'الافتراضات'!$C$32*'الافتراضات'!$F$24*Z$6)</f>
        <v/>
      </c>
      <c r="AA18" s="65">
        <f>IF(AA$3=0,0,'OPEX'!$C$7*'الافتراضات'!$C$32*'الافتراضات'!$F$24*AA$6)</f>
        <v/>
      </c>
      <c r="AB18" s="65">
        <f>IF(AB$3=0,0,'OPEX'!$C$7*'الافتراضات'!$C$32*'الافتراضات'!$F$24*AB$6)</f>
        <v/>
      </c>
      <c r="AC18" s="65">
        <f>IF(AC$3=0,0,'OPEX'!$C$7*'الافتراضات'!$C$32*'الافتراضات'!$F$24*AC$6)</f>
        <v/>
      </c>
      <c r="AD18" s="65">
        <f>IF(AD$3=0,0,'OPEX'!$C$7*'الافتراضات'!$C$32*'الافتراضات'!$F$24*AD$6)</f>
        <v/>
      </c>
      <c r="AE18" s="65">
        <f>IF(AE$3=0,0,'OPEX'!$C$7*'الافتراضات'!$C$32*'الافتراضات'!$F$24*AE$6)</f>
        <v/>
      </c>
      <c r="AF18" s="65">
        <f>IF(AF$3=0,0,'OPEX'!$C$7*'الافتراضات'!$C$32*'الافتراضات'!$F$24*AF$6)</f>
        <v/>
      </c>
      <c r="AG18" s="65">
        <f>IF(AG$3=0,0,'OPEX'!$C$7*'الافتراضات'!$C$32*'الافتراضات'!$F$24*AG$6)</f>
        <v/>
      </c>
      <c r="AH18" s="65">
        <f>IF(AH$3=0,0,'OPEX'!$C$7*'الافتراضات'!$C$32*'الافتراضات'!$F$24*AH$6)</f>
        <v/>
      </c>
      <c r="AI18" s="65">
        <f>IF(AI$3=0,0,'OPEX'!$C$7*'الافتراضات'!$C$32*'الافتراضات'!$F$24*AI$6)</f>
        <v/>
      </c>
      <c r="AJ18" s="65">
        <f>IF(AJ$3=0,0,'OPEX'!$C$7*'الافتراضات'!$C$32*'الافتراضات'!$F$24*AJ$6)</f>
        <v/>
      </c>
      <c r="AK18" s="65">
        <f>IF(AK$3=0,0,'OPEX'!$C$7*'الافتراضات'!$C$32*'الافتراضات'!$F$24*AK$6)</f>
        <v/>
      </c>
      <c r="AL18" s="65">
        <f>IF(AL$3=0,0,'OPEX'!$C$7*'الافتراضات'!$C$32*'الافتراضات'!$F$24*AL$6)</f>
        <v/>
      </c>
      <c r="AM18" s="65">
        <f>IF(AM$3=0,0,'OPEX'!$C$7*'الافتراضات'!$C$32*'الافتراضات'!$F$24*AM$6)</f>
        <v/>
      </c>
      <c r="AN18" s="65">
        <f>IF(AN$3=0,0,'OPEX'!$C$7*'الافتراضات'!$C$32*'الافتراضات'!$F$24*AN$6)</f>
        <v/>
      </c>
      <c r="AO18" s="65">
        <f>IF(AO$3=0,0,'OPEX'!$C$7*'الافتراضات'!$C$32*'الافتراضات'!$F$24*AO$6)</f>
        <v/>
      </c>
      <c r="AP18" s="65">
        <f>IF(AP$3=0,0,'OPEX'!$C$7*'الافتراضات'!$C$32*'الافتراضات'!$F$24*AP$6)</f>
        <v/>
      </c>
      <c r="AQ18" s="65">
        <f>IF(AQ$3=0,0,'OPEX'!$C$7*'الافتراضات'!$C$32*'الافتراضات'!$F$24*AQ$6)</f>
        <v/>
      </c>
      <c r="AR18" s="65">
        <f>IF(AR$3=0,0,'OPEX'!$C$7*'الافتراضات'!$C$32*'الافتراضات'!$F$24*AR$6)</f>
        <v/>
      </c>
      <c r="AS18" s="65">
        <f>IF(AS$3=0,0,'OPEX'!$C$7*'الافتراضات'!$C$32*'الافتراضات'!$F$24*AS$6)</f>
        <v/>
      </c>
      <c r="AT18" s="65">
        <f>IF(AT$3=0,0,'OPEX'!$C$7*'الافتراضات'!$C$32*'الافتراضات'!$F$24*AT$6)</f>
        <v/>
      </c>
      <c r="AU18" s="65">
        <f>IF(AU$3=0,0,'OPEX'!$C$7*'الافتراضات'!$C$32*'الافتراضات'!$F$24*AU$6)</f>
        <v/>
      </c>
      <c r="AV18" s="65">
        <f>IF(AV$3=0,0,'OPEX'!$C$7*'الافتراضات'!$C$32*'الافتراضات'!$F$24*AV$6)</f>
        <v/>
      </c>
      <c r="AW18" s="65">
        <f>IF(AW$3=0,0,'OPEX'!$C$7*'الافتراضات'!$C$32*'الافتراضات'!$F$24*AW$6)</f>
        <v/>
      </c>
      <c r="AX18" s="65">
        <f>IF(AX$3=0,0,'OPEX'!$C$7*'الافتراضات'!$C$32*'الافتراضات'!$F$24*AX$6)</f>
        <v/>
      </c>
      <c r="AY18" s="65">
        <f>IF(AY$3=0,0,'OPEX'!$C$7*'الافتراضات'!$C$32*'الافتراضات'!$F$24*AY$6)</f>
        <v/>
      </c>
      <c r="AZ18" s="65">
        <f>IF(AZ$3=0,0,'OPEX'!$C$7*'الافتراضات'!$C$32*'الافتراضات'!$F$24*AZ$6)</f>
        <v/>
      </c>
      <c r="BA18" s="65">
        <f>IF(BA$3=0,0,'OPEX'!$C$7*'الافتراضات'!$C$32*'الافتراضات'!$F$24*BA$6)</f>
        <v/>
      </c>
      <c r="BB18" s="65">
        <f>IF(BB$3=0,0,'OPEX'!$C$7*'الافتراضات'!$C$32*'الافتراضات'!$F$24*BB$6)</f>
        <v/>
      </c>
      <c r="BC18" s="65">
        <f>IF(BC$3=0,0,'OPEX'!$C$7*'الافتراضات'!$C$32*'الافتراضات'!$F$24*BC$6)</f>
        <v/>
      </c>
      <c r="BD18" s="65">
        <f>IF(BD$3=0,0,'OPEX'!$C$7*'الافتراضات'!$C$32*'الافتراضات'!$F$24*BD$6)</f>
        <v/>
      </c>
      <c r="BE18" s="65">
        <f>IF(BE$3=0,0,'OPEX'!$C$7*'الافتراضات'!$C$32*'الافتراضات'!$F$24*BE$6)</f>
        <v/>
      </c>
      <c r="BF18" s="65">
        <f>IF(BF$3=0,0,'OPEX'!$C$7*'الافتراضات'!$C$32*'الافتراضات'!$F$24*BF$6)</f>
        <v/>
      </c>
      <c r="BG18" s="65">
        <f>IF(BG$3=0,0,'OPEX'!$C$7*'الافتراضات'!$C$32*'الافتراضات'!$F$24*BG$6)</f>
        <v/>
      </c>
      <c r="BH18" s="65">
        <f>IF(BH$3=0,0,'OPEX'!$C$7*'الافتراضات'!$C$32*'الافتراضات'!$F$24*BH$6)</f>
        <v/>
      </c>
      <c r="BI18" s="65">
        <f>IF(BI$3=0,0,'OPEX'!$C$7*'الافتراضات'!$C$32*'الافتراضات'!$F$24*BI$6)</f>
        <v/>
      </c>
      <c r="BJ18" s="65">
        <f>IF(BJ$3=0,0,'OPEX'!$C$7*'الافتراضات'!$C$32*'الافتراضات'!$F$24*BJ$6)</f>
        <v/>
      </c>
      <c r="BK18" s="65">
        <f>IF(BK$3=0,0,'OPEX'!$C$7*'الافتراضات'!$C$32*'الافتراضات'!$F$24*BK$6)</f>
        <v/>
      </c>
      <c r="BL18" s="65">
        <f>IF(BL$3=0,0,'OPEX'!$C$7*'الافتراضات'!$C$32*'الافتراضات'!$F$24*BL$6)</f>
        <v/>
      </c>
      <c r="BM18" s="65">
        <f>IF(BM$3=0,0,'OPEX'!$C$7*'الافتراضات'!$C$32*'الافتراضات'!$F$24*BM$6)</f>
        <v/>
      </c>
      <c r="BN18" s="65">
        <f>IF(BN$3=0,0,'OPEX'!$C$7*'الافتراضات'!$C$32*'الافتراضات'!$F$24*BN$6)</f>
        <v/>
      </c>
      <c r="BO18" s="65">
        <f>IF(BO$3=0,0,'OPEX'!$C$7*'الافتراضات'!$C$32*'الافتراضات'!$F$24*BO$6)</f>
        <v/>
      </c>
      <c r="BP18" s="65">
        <f>IF(BP$3=0,0,'OPEX'!$C$7*'الافتراضات'!$C$32*'الافتراضات'!$F$24*BP$6)</f>
        <v/>
      </c>
      <c r="BQ18" s="65">
        <f>IF(BQ$3=0,0,'OPEX'!$C$7*'الافتراضات'!$C$32*'الافتراضات'!$F$24*BQ$6)</f>
        <v/>
      </c>
      <c r="BR18" s="65">
        <f>IF(BR$3=0,0,'OPEX'!$C$7*'الافتراضات'!$C$32*'الافتراضات'!$F$24*BR$6)</f>
        <v/>
      </c>
      <c r="BS18" s="65">
        <f>IF(BS$3=0,0,'OPEX'!$C$7*'الافتراضات'!$C$32*'الافتراضات'!$F$24*BS$6)</f>
        <v/>
      </c>
      <c r="BT18" s="65">
        <f>IF(BT$3=0,0,'OPEX'!$C$7*'الافتراضات'!$C$32*'الافتراضات'!$F$24*BT$6)</f>
        <v/>
      </c>
      <c r="BU18" s="65">
        <f>IF(BU$3=0,0,'OPEX'!$C$7*'الافتراضات'!$C$32*'الافتراضات'!$F$24*BU$6)</f>
        <v/>
      </c>
      <c r="BV18" s="65">
        <f>IF(BV$3=0,0,'OPEX'!$C$7*'الافتراضات'!$C$32*'الافتراضات'!$F$24*BV$6)</f>
        <v/>
      </c>
      <c r="BW18" s="65">
        <f>IF(BW$3=0,0,'OPEX'!$C$7*'الافتراضات'!$C$32*'الافتراضات'!$F$24*BW$6)</f>
        <v/>
      </c>
      <c r="BX18" s="65">
        <f>IF(BX$3=0,0,'OPEX'!$C$7*'الافتراضات'!$C$32*'الافتراضات'!$F$24*BX$6)</f>
        <v/>
      </c>
      <c r="BY18" s="65">
        <f>IF(BY$3=0,0,'OPEX'!$C$7*'الافتراضات'!$C$32*'الافتراضات'!$F$24*BY$6)</f>
        <v/>
      </c>
      <c r="BZ18" s="65">
        <f>IF(BZ$3=0,0,'OPEX'!$C$7*'الافتراضات'!$C$32*'الافتراضات'!$F$24*BZ$6)</f>
        <v/>
      </c>
      <c r="CA18" s="65">
        <f>IF(CA$3=0,0,'OPEX'!$C$7*'الافتراضات'!$C$32*'الافتراضات'!$F$24*CA$6)</f>
        <v/>
      </c>
      <c r="CB18" s="65">
        <f>IF(CB$3=0,0,'OPEX'!$C$7*'الافتراضات'!$C$32*'الافتراضات'!$F$24*CB$6)</f>
        <v/>
      </c>
      <c r="CC18" s="65">
        <f>IF(CC$3=0,0,'OPEX'!$C$7*'الافتراضات'!$C$32*'الافتراضات'!$F$24*CC$6)</f>
        <v/>
      </c>
      <c r="CD18" s="65">
        <f>IF(CD$3=0,0,'OPEX'!$C$7*'الافتراضات'!$C$32*'الافتراضات'!$F$24*CD$6)</f>
        <v/>
      </c>
      <c r="CE18" s="65">
        <f>IF(CE$3=0,0,'OPEX'!$C$7*'الافتراضات'!$C$32*'الافتراضات'!$F$24*CE$6)</f>
        <v/>
      </c>
      <c r="CF18" s="65">
        <f>IF(CF$3=0,0,'OPEX'!$C$7*'الافتراضات'!$C$32*'الافتراضات'!$F$24*CF$6)</f>
        <v/>
      </c>
      <c r="CG18" s="65">
        <f>IF(CG$3=0,0,'OPEX'!$C$7*'الافتراضات'!$C$32*'الافتراضات'!$F$24*CG$6)</f>
        <v/>
      </c>
      <c r="CH18" s="65">
        <f>IF(CH$3=0,0,'OPEX'!$C$7*'الافتراضات'!$C$32*'الافتراضات'!$F$24*CH$6)</f>
        <v/>
      </c>
      <c r="CI18" s="65">
        <f>IF(CI$3=0,0,'OPEX'!$C$7*'الافتراضات'!$C$32*'الافتراضات'!$F$24*CI$6)</f>
        <v/>
      </c>
      <c r="CJ18" s="65">
        <f>IF(CJ$3=0,0,'OPEX'!$C$7*'الافتراضات'!$C$32*'الافتراضات'!$F$24*CJ$6)</f>
        <v/>
      </c>
      <c r="CK18" s="65">
        <f>IF(CK$3=0,0,'OPEX'!$C$7*'الافتراضات'!$C$32*'الافتراضات'!$F$24*CK$6)</f>
        <v/>
      </c>
      <c r="CL18" s="65">
        <f>IF(CL$3=0,0,'OPEX'!$C$7*'الافتراضات'!$C$32*'الافتراضات'!$F$24*CL$6)</f>
        <v/>
      </c>
      <c r="CM18" s="65">
        <f>IF(CM$3=0,0,'OPEX'!$C$7*'الافتراضات'!$C$32*'الافتراضات'!$F$24*CM$6)</f>
        <v/>
      </c>
      <c r="CN18" s="65">
        <f>IF(CN$3=0,0,'OPEX'!$C$7*'الافتراضات'!$C$32*'الافتراضات'!$F$24*CN$6)</f>
        <v/>
      </c>
      <c r="CO18" s="65">
        <f>IF(CO$3=0,0,'OPEX'!$C$7*'الافتراضات'!$C$32*'الافتراضات'!$F$24*CO$6)</f>
        <v/>
      </c>
      <c r="CP18" s="65">
        <f>IF(CP$3=0,0,'OPEX'!$C$7*'الافتراضات'!$C$32*'الافتراضات'!$F$24*CP$6)</f>
        <v/>
      </c>
      <c r="CQ18" s="65">
        <f>IF(CQ$3=0,0,'OPEX'!$C$7*'الافتراضات'!$C$32*'الافتراضات'!$F$24*CQ$6)</f>
        <v/>
      </c>
      <c r="CR18" s="65">
        <f>IF(CR$3=0,0,'OPEX'!$C$7*'الافتراضات'!$C$32*'الافتراضات'!$F$24*CR$6)</f>
        <v/>
      </c>
      <c r="CS18" s="65">
        <f>IF(CS$3=0,0,'OPEX'!$C$7*'الافتراضات'!$C$32*'الافتراضات'!$F$24*CS$6)</f>
        <v/>
      </c>
      <c r="CT18" s="65">
        <f>IF(CT$3=0,0,'OPEX'!$C$7*'الافتراضات'!$C$32*'الافتراضات'!$F$24*CT$6)</f>
        <v/>
      </c>
      <c r="CU18" s="65">
        <f>IF(CU$3=0,0,'OPEX'!$C$7*'الافتراضات'!$C$32*'الافتراضات'!$F$24*CU$6)</f>
        <v/>
      </c>
      <c r="CV18" s="65">
        <f>IF(CV$3=0,0,'OPEX'!$C$7*'الافتراضات'!$C$32*'الافتراضات'!$F$24*CV$6)</f>
        <v/>
      </c>
      <c r="CW18" s="65">
        <f>IF(CW$3=0,0,'OPEX'!$C$7*'الافتراضات'!$C$32*'الافتراضات'!$F$24*CW$6)</f>
        <v/>
      </c>
      <c r="CX18" s="65">
        <f>IF(CX$3=0,0,'OPEX'!$C$7*'الافتراضات'!$C$32*'الافتراضات'!$F$24*CX$6)</f>
        <v/>
      </c>
      <c r="CY18" s="65">
        <f>IF(CY$3=0,0,'OPEX'!$C$7*'الافتراضات'!$C$32*'الافتراضات'!$F$24*CY$6)</f>
        <v/>
      </c>
      <c r="CZ18" s="65">
        <f>IF(CZ$3=0,0,'OPEX'!$C$7*'الافتراضات'!$C$32*'الافتراضات'!$F$24*CZ$6)</f>
        <v/>
      </c>
      <c r="DA18" s="65">
        <f>IF(DA$3=0,0,'OPEX'!$C$7*'الافتراضات'!$C$32*'الافتراضات'!$F$24*DA$6)</f>
        <v/>
      </c>
      <c r="DB18" s="65">
        <f>IF(DB$3=0,0,'OPEX'!$C$7*'الافتراضات'!$C$32*'الافتراضات'!$F$24*DB$6)</f>
        <v/>
      </c>
      <c r="DC18" s="65">
        <f>IF(DC$3=0,0,'OPEX'!$C$7*'الافتراضات'!$C$32*'الافتراضات'!$F$24*DC$6)</f>
        <v/>
      </c>
      <c r="DD18" s="65">
        <f>IF(DD$3=0,0,'OPEX'!$C$7*'الافتراضات'!$C$32*'الافتراضات'!$F$24*DD$6)</f>
        <v/>
      </c>
      <c r="DE18" s="65">
        <f>IF(DE$3=0,0,'OPEX'!$C$7*'الافتراضات'!$C$32*'الافتراضات'!$F$24*DE$6)</f>
        <v/>
      </c>
      <c r="DF18" s="65">
        <f>IF(DF$3=0,0,'OPEX'!$C$7*'الافتراضات'!$C$32*'الافتراضات'!$F$24*DF$6)</f>
        <v/>
      </c>
      <c r="DG18" s="65">
        <f>IF(DG$3=0,0,'OPEX'!$C$7*'الافتراضات'!$C$32*'الافتراضات'!$F$24*DG$6)</f>
        <v/>
      </c>
      <c r="DH18" s="65">
        <f>IF(DH$3=0,0,'OPEX'!$C$7*'الافتراضات'!$C$32*'الافتراضات'!$F$24*DH$6)</f>
        <v/>
      </c>
      <c r="DI18" s="65">
        <f>IF(DI$3=0,0,'OPEX'!$C$7*'الافتراضات'!$C$32*'الافتراضات'!$F$24*DI$6)</f>
        <v/>
      </c>
      <c r="DJ18" s="65">
        <f>IF(DJ$3=0,0,'OPEX'!$C$7*'الافتراضات'!$C$32*'الافتراضات'!$F$24*DJ$6)</f>
        <v/>
      </c>
      <c r="DK18" s="65">
        <f>IF(DK$3=0,0,'OPEX'!$C$7*'الافتراضات'!$C$32*'الافتراضات'!$F$24*DK$6)</f>
        <v/>
      </c>
      <c r="DL18" s="65">
        <f>IF(DL$3=0,0,'OPEX'!$C$7*'الافتراضات'!$C$32*'الافتراضات'!$F$24*DL$6)</f>
        <v/>
      </c>
      <c r="DM18" s="65">
        <f>IF(DM$3=0,0,'OPEX'!$C$7*'الافتراضات'!$C$32*'الافتراضات'!$F$24*DM$6)</f>
        <v/>
      </c>
      <c r="DN18" s="65">
        <f>IF(DN$3=0,0,'OPEX'!$C$7*'الافتراضات'!$C$32*'الافتراضات'!$F$24*DN$6)</f>
        <v/>
      </c>
      <c r="DO18" s="65">
        <f>IF(DO$3=0,0,'OPEX'!$C$7*'الافتراضات'!$C$32*'الافتراضات'!$F$24*DO$6)</f>
        <v/>
      </c>
      <c r="DP18" s="65">
        <f>IF(DP$3=0,0,'OPEX'!$C$7*'الافتراضات'!$C$32*'الافتراضات'!$F$24*DP$6)</f>
        <v/>
      </c>
      <c r="DQ18" s="65">
        <f>IF(DQ$3=0,0,'OPEX'!$C$7*'الافتراضات'!$C$32*'الافتراضات'!$F$24*DQ$6)</f>
        <v/>
      </c>
      <c r="DR18" s="65">
        <f>IF(DR$3=0,0,'OPEX'!$C$7*'الافتراضات'!$C$32*'الافتراضات'!$F$24*DR$6)</f>
        <v/>
      </c>
      <c r="DS18" s="65">
        <f>IF(DS$3=0,0,'OPEX'!$C$7*'الافتراضات'!$C$32*'الافتراضات'!$F$24*DS$6)</f>
        <v/>
      </c>
    </row>
    <row r="19">
      <c r="B19" s="22" t="inlineStr">
        <is>
          <t>تغليف الأرز</t>
        </is>
      </c>
      <c r="C19" s="65">
        <f>IF(C$3=0,0,'OPEX'!$C$8*'الافتراضات'!$C$44*C$6)</f>
        <v/>
      </c>
      <c r="D19" s="65">
        <f>IF(D$3=0,0,'OPEX'!$C$8*'الافتراضات'!$C$44*D$6)</f>
        <v/>
      </c>
      <c r="E19" s="65">
        <f>IF(E$3=0,0,'OPEX'!$C$8*'الافتراضات'!$C$44*E$6)</f>
        <v/>
      </c>
      <c r="F19" s="65">
        <f>IF(F$3=0,0,'OPEX'!$C$8*'الافتراضات'!$C$44*F$6)</f>
        <v/>
      </c>
      <c r="G19" s="65">
        <f>IF(G$3=0,0,'OPEX'!$C$8*'الافتراضات'!$C$44*G$6)</f>
        <v/>
      </c>
      <c r="H19" s="65">
        <f>IF(H$3=0,0,'OPEX'!$C$8*'الافتراضات'!$C$44*H$6)</f>
        <v/>
      </c>
      <c r="I19" s="65">
        <f>IF(I$3=0,0,'OPEX'!$C$8*'الافتراضات'!$C$44*I$6)</f>
        <v/>
      </c>
      <c r="J19" s="65">
        <f>IF(J$3=0,0,'OPEX'!$C$8*'الافتراضات'!$C$44*J$6)</f>
        <v/>
      </c>
      <c r="K19" s="65">
        <f>IF(K$3=0,0,'OPEX'!$C$8*'الافتراضات'!$C$44*K$6)</f>
        <v/>
      </c>
      <c r="L19" s="65">
        <f>IF(L$3=0,0,'OPEX'!$C$8*'الافتراضات'!$C$44*L$6)</f>
        <v/>
      </c>
      <c r="M19" s="65">
        <f>IF(M$3=0,0,'OPEX'!$C$8*'الافتراضات'!$C$44*M$6)</f>
        <v/>
      </c>
      <c r="N19" s="65">
        <f>IF(N$3=0,0,'OPEX'!$C$8*'الافتراضات'!$C$44*N$6)</f>
        <v/>
      </c>
      <c r="O19" s="65">
        <f>IF(O$3=0,0,'OPEX'!$C$8*'الافتراضات'!$C$44*O$6)</f>
        <v/>
      </c>
      <c r="P19" s="65">
        <f>IF(P$3=0,0,'OPEX'!$C$8*'الافتراضات'!$C$44*P$6)</f>
        <v/>
      </c>
      <c r="Q19" s="65">
        <f>IF(Q$3=0,0,'OPEX'!$C$8*'الافتراضات'!$C$44*Q$6)</f>
        <v/>
      </c>
      <c r="R19" s="65">
        <f>IF(R$3=0,0,'OPEX'!$C$8*'الافتراضات'!$C$44*R$6)</f>
        <v/>
      </c>
      <c r="S19" s="65">
        <f>IF(S$3=0,0,'OPEX'!$C$8*'الافتراضات'!$C$44*S$6)</f>
        <v/>
      </c>
      <c r="T19" s="65">
        <f>IF(T$3=0,0,'OPEX'!$C$8*'الافتراضات'!$C$44*T$6)</f>
        <v/>
      </c>
      <c r="U19" s="65">
        <f>IF(U$3=0,0,'OPEX'!$C$8*'الافتراضات'!$C$44*U$6)</f>
        <v/>
      </c>
      <c r="V19" s="65">
        <f>IF(V$3=0,0,'OPEX'!$C$8*'الافتراضات'!$C$44*V$6)</f>
        <v/>
      </c>
      <c r="W19" s="65">
        <f>IF(W$3=0,0,'OPEX'!$C$8*'الافتراضات'!$C$44*W$6)</f>
        <v/>
      </c>
      <c r="X19" s="65">
        <f>IF(X$3=0,0,'OPEX'!$C$8*'الافتراضات'!$C$44*X$6)</f>
        <v/>
      </c>
      <c r="Y19" s="65">
        <f>IF(Y$3=0,0,'OPEX'!$C$8*'الافتراضات'!$C$44*Y$6)</f>
        <v/>
      </c>
      <c r="Z19" s="65">
        <f>IF(Z$3=0,0,'OPEX'!$C$8*'الافتراضات'!$C$44*Z$6)</f>
        <v/>
      </c>
      <c r="AA19" s="65">
        <f>IF(AA$3=0,0,'OPEX'!$C$8*'الافتراضات'!$C$44*AA$6)</f>
        <v/>
      </c>
      <c r="AB19" s="65">
        <f>IF(AB$3=0,0,'OPEX'!$C$8*'الافتراضات'!$C$44*AB$6)</f>
        <v/>
      </c>
      <c r="AC19" s="65">
        <f>IF(AC$3=0,0,'OPEX'!$C$8*'الافتراضات'!$C$44*AC$6)</f>
        <v/>
      </c>
      <c r="AD19" s="65">
        <f>IF(AD$3=0,0,'OPEX'!$C$8*'الافتراضات'!$C$44*AD$6)</f>
        <v/>
      </c>
      <c r="AE19" s="65">
        <f>IF(AE$3=0,0,'OPEX'!$C$8*'الافتراضات'!$C$44*AE$6)</f>
        <v/>
      </c>
      <c r="AF19" s="65">
        <f>IF(AF$3=0,0,'OPEX'!$C$8*'الافتراضات'!$C$44*AF$6)</f>
        <v/>
      </c>
      <c r="AG19" s="65">
        <f>IF(AG$3=0,0,'OPEX'!$C$8*'الافتراضات'!$C$44*AG$6)</f>
        <v/>
      </c>
      <c r="AH19" s="65">
        <f>IF(AH$3=0,0,'OPEX'!$C$8*'الافتراضات'!$C$44*AH$6)</f>
        <v/>
      </c>
      <c r="AI19" s="65">
        <f>IF(AI$3=0,0,'OPEX'!$C$8*'الافتراضات'!$C$44*AI$6)</f>
        <v/>
      </c>
      <c r="AJ19" s="65">
        <f>IF(AJ$3=0,0,'OPEX'!$C$8*'الافتراضات'!$C$44*AJ$6)</f>
        <v/>
      </c>
      <c r="AK19" s="65">
        <f>IF(AK$3=0,0,'OPEX'!$C$8*'الافتراضات'!$C$44*AK$6)</f>
        <v/>
      </c>
      <c r="AL19" s="65">
        <f>IF(AL$3=0,0,'OPEX'!$C$8*'الافتراضات'!$C$44*AL$6)</f>
        <v/>
      </c>
      <c r="AM19" s="65">
        <f>IF(AM$3=0,0,'OPEX'!$C$8*'الافتراضات'!$C$44*AM$6)</f>
        <v/>
      </c>
      <c r="AN19" s="65">
        <f>IF(AN$3=0,0,'OPEX'!$C$8*'الافتراضات'!$C$44*AN$6)</f>
        <v/>
      </c>
      <c r="AO19" s="65">
        <f>IF(AO$3=0,0,'OPEX'!$C$8*'الافتراضات'!$C$44*AO$6)</f>
        <v/>
      </c>
      <c r="AP19" s="65">
        <f>IF(AP$3=0,0,'OPEX'!$C$8*'الافتراضات'!$C$44*AP$6)</f>
        <v/>
      </c>
      <c r="AQ19" s="65">
        <f>IF(AQ$3=0,0,'OPEX'!$C$8*'الافتراضات'!$C$44*AQ$6)</f>
        <v/>
      </c>
      <c r="AR19" s="65">
        <f>IF(AR$3=0,0,'OPEX'!$C$8*'الافتراضات'!$C$44*AR$6)</f>
        <v/>
      </c>
      <c r="AS19" s="65">
        <f>IF(AS$3=0,0,'OPEX'!$C$8*'الافتراضات'!$C$44*AS$6)</f>
        <v/>
      </c>
      <c r="AT19" s="65">
        <f>IF(AT$3=0,0,'OPEX'!$C$8*'الافتراضات'!$C$44*AT$6)</f>
        <v/>
      </c>
      <c r="AU19" s="65">
        <f>IF(AU$3=0,0,'OPEX'!$C$8*'الافتراضات'!$C$44*AU$6)</f>
        <v/>
      </c>
      <c r="AV19" s="65">
        <f>IF(AV$3=0,0,'OPEX'!$C$8*'الافتراضات'!$C$44*AV$6)</f>
        <v/>
      </c>
      <c r="AW19" s="65">
        <f>IF(AW$3=0,0,'OPEX'!$C$8*'الافتراضات'!$C$44*AW$6)</f>
        <v/>
      </c>
      <c r="AX19" s="65">
        <f>IF(AX$3=0,0,'OPEX'!$C$8*'الافتراضات'!$C$44*AX$6)</f>
        <v/>
      </c>
      <c r="AY19" s="65">
        <f>IF(AY$3=0,0,'OPEX'!$C$8*'الافتراضات'!$C$44*AY$6)</f>
        <v/>
      </c>
      <c r="AZ19" s="65">
        <f>IF(AZ$3=0,0,'OPEX'!$C$8*'الافتراضات'!$C$44*AZ$6)</f>
        <v/>
      </c>
      <c r="BA19" s="65">
        <f>IF(BA$3=0,0,'OPEX'!$C$8*'الافتراضات'!$C$44*BA$6)</f>
        <v/>
      </c>
      <c r="BB19" s="65">
        <f>IF(BB$3=0,0,'OPEX'!$C$8*'الافتراضات'!$C$44*BB$6)</f>
        <v/>
      </c>
      <c r="BC19" s="65">
        <f>IF(BC$3=0,0,'OPEX'!$C$8*'الافتراضات'!$C$44*BC$6)</f>
        <v/>
      </c>
      <c r="BD19" s="65">
        <f>IF(BD$3=0,0,'OPEX'!$C$8*'الافتراضات'!$C$44*BD$6)</f>
        <v/>
      </c>
      <c r="BE19" s="65">
        <f>IF(BE$3=0,0,'OPEX'!$C$8*'الافتراضات'!$C$44*BE$6)</f>
        <v/>
      </c>
      <c r="BF19" s="65">
        <f>IF(BF$3=0,0,'OPEX'!$C$8*'الافتراضات'!$C$44*BF$6)</f>
        <v/>
      </c>
      <c r="BG19" s="65">
        <f>IF(BG$3=0,0,'OPEX'!$C$8*'الافتراضات'!$C$44*BG$6)</f>
        <v/>
      </c>
      <c r="BH19" s="65">
        <f>IF(BH$3=0,0,'OPEX'!$C$8*'الافتراضات'!$C$44*BH$6)</f>
        <v/>
      </c>
      <c r="BI19" s="65">
        <f>IF(BI$3=0,0,'OPEX'!$C$8*'الافتراضات'!$C$44*BI$6)</f>
        <v/>
      </c>
      <c r="BJ19" s="65">
        <f>IF(BJ$3=0,0,'OPEX'!$C$8*'الافتراضات'!$C$44*BJ$6)</f>
        <v/>
      </c>
      <c r="BK19" s="65">
        <f>IF(BK$3=0,0,'OPEX'!$C$8*'الافتراضات'!$C$44*BK$6)</f>
        <v/>
      </c>
      <c r="BL19" s="65">
        <f>IF(BL$3=0,0,'OPEX'!$C$8*'الافتراضات'!$C$44*BL$6)</f>
        <v/>
      </c>
      <c r="BM19" s="65">
        <f>IF(BM$3=0,0,'OPEX'!$C$8*'الافتراضات'!$C$44*BM$6)</f>
        <v/>
      </c>
      <c r="BN19" s="65">
        <f>IF(BN$3=0,0,'OPEX'!$C$8*'الافتراضات'!$C$44*BN$6)</f>
        <v/>
      </c>
      <c r="BO19" s="65">
        <f>IF(BO$3=0,0,'OPEX'!$C$8*'الافتراضات'!$C$44*BO$6)</f>
        <v/>
      </c>
      <c r="BP19" s="65">
        <f>IF(BP$3=0,0,'OPEX'!$C$8*'الافتراضات'!$C$44*BP$6)</f>
        <v/>
      </c>
      <c r="BQ19" s="65">
        <f>IF(BQ$3=0,0,'OPEX'!$C$8*'الافتراضات'!$C$44*BQ$6)</f>
        <v/>
      </c>
      <c r="BR19" s="65">
        <f>IF(BR$3=0,0,'OPEX'!$C$8*'الافتراضات'!$C$44*BR$6)</f>
        <v/>
      </c>
      <c r="BS19" s="65">
        <f>IF(BS$3=0,0,'OPEX'!$C$8*'الافتراضات'!$C$44*BS$6)</f>
        <v/>
      </c>
      <c r="BT19" s="65">
        <f>IF(BT$3=0,0,'OPEX'!$C$8*'الافتراضات'!$C$44*BT$6)</f>
        <v/>
      </c>
      <c r="BU19" s="65">
        <f>IF(BU$3=0,0,'OPEX'!$C$8*'الافتراضات'!$C$44*BU$6)</f>
        <v/>
      </c>
      <c r="BV19" s="65">
        <f>IF(BV$3=0,0,'OPEX'!$C$8*'الافتراضات'!$C$44*BV$6)</f>
        <v/>
      </c>
      <c r="BW19" s="65">
        <f>IF(BW$3=0,0,'OPEX'!$C$8*'الافتراضات'!$C$44*BW$6)</f>
        <v/>
      </c>
      <c r="BX19" s="65">
        <f>IF(BX$3=0,0,'OPEX'!$C$8*'الافتراضات'!$C$44*BX$6)</f>
        <v/>
      </c>
      <c r="BY19" s="65">
        <f>IF(BY$3=0,0,'OPEX'!$C$8*'الافتراضات'!$C$44*BY$6)</f>
        <v/>
      </c>
      <c r="BZ19" s="65">
        <f>IF(BZ$3=0,0,'OPEX'!$C$8*'الافتراضات'!$C$44*BZ$6)</f>
        <v/>
      </c>
      <c r="CA19" s="65">
        <f>IF(CA$3=0,0,'OPEX'!$C$8*'الافتراضات'!$C$44*CA$6)</f>
        <v/>
      </c>
      <c r="CB19" s="65">
        <f>IF(CB$3=0,0,'OPEX'!$C$8*'الافتراضات'!$C$44*CB$6)</f>
        <v/>
      </c>
      <c r="CC19" s="65">
        <f>IF(CC$3=0,0,'OPEX'!$C$8*'الافتراضات'!$C$44*CC$6)</f>
        <v/>
      </c>
      <c r="CD19" s="65">
        <f>IF(CD$3=0,0,'OPEX'!$C$8*'الافتراضات'!$C$44*CD$6)</f>
        <v/>
      </c>
      <c r="CE19" s="65">
        <f>IF(CE$3=0,0,'OPEX'!$C$8*'الافتراضات'!$C$44*CE$6)</f>
        <v/>
      </c>
      <c r="CF19" s="65">
        <f>IF(CF$3=0,0,'OPEX'!$C$8*'الافتراضات'!$C$44*CF$6)</f>
        <v/>
      </c>
      <c r="CG19" s="65">
        <f>IF(CG$3=0,0,'OPEX'!$C$8*'الافتراضات'!$C$44*CG$6)</f>
        <v/>
      </c>
      <c r="CH19" s="65">
        <f>IF(CH$3=0,0,'OPEX'!$C$8*'الافتراضات'!$C$44*CH$6)</f>
        <v/>
      </c>
      <c r="CI19" s="65">
        <f>IF(CI$3=0,0,'OPEX'!$C$8*'الافتراضات'!$C$44*CI$6)</f>
        <v/>
      </c>
      <c r="CJ19" s="65">
        <f>IF(CJ$3=0,0,'OPEX'!$C$8*'الافتراضات'!$C$44*CJ$6)</f>
        <v/>
      </c>
      <c r="CK19" s="65">
        <f>IF(CK$3=0,0,'OPEX'!$C$8*'الافتراضات'!$C$44*CK$6)</f>
        <v/>
      </c>
      <c r="CL19" s="65">
        <f>IF(CL$3=0,0,'OPEX'!$C$8*'الافتراضات'!$C$44*CL$6)</f>
        <v/>
      </c>
      <c r="CM19" s="65">
        <f>IF(CM$3=0,0,'OPEX'!$C$8*'الافتراضات'!$C$44*CM$6)</f>
        <v/>
      </c>
      <c r="CN19" s="65">
        <f>IF(CN$3=0,0,'OPEX'!$C$8*'الافتراضات'!$C$44*CN$6)</f>
        <v/>
      </c>
      <c r="CO19" s="65">
        <f>IF(CO$3=0,0,'OPEX'!$C$8*'الافتراضات'!$C$44*CO$6)</f>
        <v/>
      </c>
      <c r="CP19" s="65">
        <f>IF(CP$3=0,0,'OPEX'!$C$8*'الافتراضات'!$C$44*CP$6)</f>
        <v/>
      </c>
      <c r="CQ19" s="65">
        <f>IF(CQ$3=0,0,'OPEX'!$C$8*'الافتراضات'!$C$44*CQ$6)</f>
        <v/>
      </c>
      <c r="CR19" s="65">
        <f>IF(CR$3=0,0,'OPEX'!$C$8*'الافتراضات'!$C$44*CR$6)</f>
        <v/>
      </c>
      <c r="CS19" s="65">
        <f>IF(CS$3=0,0,'OPEX'!$C$8*'الافتراضات'!$C$44*CS$6)</f>
        <v/>
      </c>
      <c r="CT19" s="65">
        <f>IF(CT$3=0,0,'OPEX'!$C$8*'الافتراضات'!$C$44*CT$6)</f>
        <v/>
      </c>
      <c r="CU19" s="65">
        <f>IF(CU$3=0,0,'OPEX'!$C$8*'الافتراضات'!$C$44*CU$6)</f>
        <v/>
      </c>
      <c r="CV19" s="65">
        <f>IF(CV$3=0,0,'OPEX'!$C$8*'الافتراضات'!$C$44*CV$6)</f>
        <v/>
      </c>
      <c r="CW19" s="65">
        <f>IF(CW$3=0,0,'OPEX'!$C$8*'الافتراضات'!$C$44*CW$6)</f>
        <v/>
      </c>
      <c r="CX19" s="65">
        <f>IF(CX$3=0,0,'OPEX'!$C$8*'الافتراضات'!$C$44*CX$6)</f>
        <v/>
      </c>
      <c r="CY19" s="65">
        <f>IF(CY$3=0,0,'OPEX'!$C$8*'الافتراضات'!$C$44*CY$6)</f>
        <v/>
      </c>
      <c r="CZ19" s="65">
        <f>IF(CZ$3=0,0,'OPEX'!$C$8*'الافتراضات'!$C$44*CZ$6)</f>
        <v/>
      </c>
      <c r="DA19" s="65">
        <f>IF(DA$3=0,0,'OPEX'!$C$8*'الافتراضات'!$C$44*DA$6)</f>
        <v/>
      </c>
      <c r="DB19" s="65">
        <f>IF(DB$3=0,0,'OPEX'!$C$8*'الافتراضات'!$C$44*DB$6)</f>
        <v/>
      </c>
      <c r="DC19" s="65">
        <f>IF(DC$3=0,0,'OPEX'!$C$8*'الافتراضات'!$C$44*DC$6)</f>
        <v/>
      </c>
      <c r="DD19" s="65">
        <f>IF(DD$3=0,0,'OPEX'!$C$8*'الافتراضات'!$C$44*DD$6)</f>
        <v/>
      </c>
      <c r="DE19" s="65">
        <f>IF(DE$3=0,0,'OPEX'!$C$8*'الافتراضات'!$C$44*DE$6)</f>
        <v/>
      </c>
      <c r="DF19" s="65">
        <f>IF(DF$3=0,0,'OPEX'!$C$8*'الافتراضات'!$C$44*DF$6)</f>
        <v/>
      </c>
      <c r="DG19" s="65">
        <f>IF(DG$3=0,0,'OPEX'!$C$8*'الافتراضات'!$C$44*DG$6)</f>
        <v/>
      </c>
      <c r="DH19" s="65">
        <f>IF(DH$3=0,0,'OPEX'!$C$8*'الافتراضات'!$C$44*DH$6)</f>
        <v/>
      </c>
      <c r="DI19" s="65">
        <f>IF(DI$3=0,0,'OPEX'!$C$8*'الافتراضات'!$C$44*DI$6)</f>
        <v/>
      </c>
      <c r="DJ19" s="65">
        <f>IF(DJ$3=0,0,'OPEX'!$C$8*'الافتراضات'!$C$44*DJ$6)</f>
        <v/>
      </c>
      <c r="DK19" s="65">
        <f>IF(DK$3=0,0,'OPEX'!$C$8*'الافتراضات'!$C$44*DK$6)</f>
        <v/>
      </c>
      <c r="DL19" s="65">
        <f>IF(DL$3=0,0,'OPEX'!$C$8*'الافتراضات'!$C$44*DL$6)</f>
        <v/>
      </c>
      <c r="DM19" s="65">
        <f>IF(DM$3=0,0,'OPEX'!$C$8*'الافتراضات'!$C$44*DM$6)</f>
        <v/>
      </c>
      <c r="DN19" s="65">
        <f>IF(DN$3=0,0,'OPEX'!$C$8*'الافتراضات'!$C$44*DN$6)</f>
        <v/>
      </c>
      <c r="DO19" s="65">
        <f>IF(DO$3=0,0,'OPEX'!$C$8*'الافتراضات'!$C$44*DO$6)</f>
        <v/>
      </c>
      <c r="DP19" s="65">
        <f>IF(DP$3=0,0,'OPEX'!$C$8*'الافتراضات'!$C$44*DP$6)</f>
        <v/>
      </c>
      <c r="DQ19" s="65">
        <f>IF(DQ$3=0,0,'OPEX'!$C$8*'الافتراضات'!$C$44*DQ$6)</f>
        <v/>
      </c>
      <c r="DR19" s="65">
        <f>IF(DR$3=0,0,'OPEX'!$C$8*'الافتراضات'!$C$44*DR$6)</f>
        <v/>
      </c>
      <c r="DS19" s="65">
        <f>IF(DS$3=0,0,'OPEX'!$C$8*'الافتراضات'!$C$44*DS$6)</f>
        <v/>
      </c>
    </row>
    <row r="20">
      <c r="B20" s="22" t="inlineStr">
        <is>
          <t>مكونات العلف الخارجية</t>
        </is>
      </c>
      <c r="C20" s="65">
        <f>IF(C$3=0,0,'OPEX'!$C$12*'OPEX'!$C$18*C$6)</f>
        <v/>
      </c>
      <c r="D20" s="65">
        <f>IF(D$3=0,0,'OPEX'!$C$12*'OPEX'!$C$18*D$6)</f>
        <v/>
      </c>
      <c r="E20" s="65">
        <f>IF(E$3=0,0,'OPEX'!$C$12*'OPEX'!$C$18*E$6)</f>
        <v/>
      </c>
      <c r="F20" s="65">
        <f>IF(F$3=0,0,'OPEX'!$C$12*'OPEX'!$C$18*F$6)</f>
        <v/>
      </c>
      <c r="G20" s="65">
        <f>IF(G$3=0,0,'OPEX'!$C$12*'OPEX'!$C$18*G$6)</f>
        <v/>
      </c>
      <c r="H20" s="65">
        <f>IF(H$3=0,0,'OPEX'!$C$12*'OPEX'!$C$18*H$6)</f>
        <v/>
      </c>
      <c r="I20" s="65">
        <f>IF(I$3=0,0,'OPEX'!$C$12*'OPEX'!$C$18*I$6)</f>
        <v/>
      </c>
      <c r="J20" s="65">
        <f>IF(J$3=0,0,'OPEX'!$C$12*'OPEX'!$C$18*J$6)</f>
        <v/>
      </c>
      <c r="K20" s="65">
        <f>IF(K$3=0,0,'OPEX'!$C$12*'OPEX'!$C$18*K$6)</f>
        <v/>
      </c>
      <c r="L20" s="65">
        <f>IF(L$3=0,0,'OPEX'!$C$12*'OPEX'!$C$18*L$6)</f>
        <v/>
      </c>
      <c r="M20" s="65">
        <f>IF(M$3=0,0,'OPEX'!$C$12*'OPEX'!$C$18*M$6)</f>
        <v/>
      </c>
      <c r="N20" s="65">
        <f>IF(N$3=0,0,'OPEX'!$C$12*'OPEX'!$C$18*N$6)</f>
        <v/>
      </c>
      <c r="O20" s="65">
        <f>IF(O$3=0,0,'OPEX'!$C$12*'OPEX'!$C$18*O$6)</f>
        <v/>
      </c>
      <c r="P20" s="65">
        <f>IF(P$3=0,0,'OPEX'!$C$12*'OPEX'!$C$18*P$6)</f>
        <v/>
      </c>
      <c r="Q20" s="65">
        <f>IF(Q$3=0,0,'OPEX'!$C$12*'OPEX'!$C$18*Q$6)</f>
        <v/>
      </c>
      <c r="R20" s="65">
        <f>IF(R$3=0,0,'OPEX'!$C$12*'OPEX'!$C$18*R$6)</f>
        <v/>
      </c>
      <c r="S20" s="65">
        <f>IF(S$3=0,0,'OPEX'!$C$12*'OPEX'!$C$18*S$6)</f>
        <v/>
      </c>
      <c r="T20" s="65">
        <f>IF(T$3=0,0,'OPEX'!$C$12*'OPEX'!$C$18*T$6)</f>
        <v/>
      </c>
      <c r="U20" s="65">
        <f>IF(U$3=0,0,'OPEX'!$C$12*'OPEX'!$C$18*U$6)</f>
        <v/>
      </c>
      <c r="V20" s="65">
        <f>IF(V$3=0,0,'OPEX'!$C$12*'OPEX'!$C$18*V$6)</f>
        <v/>
      </c>
      <c r="W20" s="65">
        <f>IF(W$3=0,0,'OPEX'!$C$12*'OPEX'!$C$18*W$6)</f>
        <v/>
      </c>
      <c r="X20" s="65">
        <f>IF(X$3=0,0,'OPEX'!$C$12*'OPEX'!$C$18*X$6)</f>
        <v/>
      </c>
      <c r="Y20" s="65">
        <f>IF(Y$3=0,0,'OPEX'!$C$12*'OPEX'!$C$18*Y$6)</f>
        <v/>
      </c>
      <c r="Z20" s="65">
        <f>IF(Z$3=0,0,'OPEX'!$C$12*'OPEX'!$C$18*Z$6)</f>
        <v/>
      </c>
      <c r="AA20" s="65">
        <f>IF(AA$3=0,0,'OPEX'!$C$12*'OPEX'!$C$18*AA$6)</f>
        <v/>
      </c>
      <c r="AB20" s="65">
        <f>IF(AB$3=0,0,'OPEX'!$C$12*'OPEX'!$C$18*AB$6)</f>
        <v/>
      </c>
      <c r="AC20" s="65">
        <f>IF(AC$3=0,0,'OPEX'!$C$12*'OPEX'!$C$18*AC$6)</f>
        <v/>
      </c>
      <c r="AD20" s="65">
        <f>IF(AD$3=0,0,'OPEX'!$C$12*'OPEX'!$C$18*AD$6)</f>
        <v/>
      </c>
      <c r="AE20" s="65">
        <f>IF(AE$3=0,0,'OPEX'!$C$12*'OPEX'!$C$18*AE$6)</f>
        <v/>
      </c>
      <c r="AF20" s="65">
        <f>IF(AF$3=0,0,'OPEX'!$C$12*'OPEX'!$C$18*AF$6)</f>
        <v/>
      </c>
      <c r="AG20" s="65">
        <f>IF(AG$3=0,0,'OPEX'!$C$12*'OPEX'!$C$18*AG$6)</f>
        <v/>
      </c>
      <c r="AH20" s="65">
        <f>IF(AH$3=0,0,'OPEX'!$C$12*'OPEX'!$C$18*AH$6)</f>
        <v/>
      </c>
      <c r="AI20" s="65">
        <f>IF(AI$3=0,0,'OPEX'!$C$12*'OPEX'!$C$18*AI$6)</f>
        <v/>
      </c>
      <c r="AJ20" s="65">
        <f>IF(AJ$3=0,0,'OPEX'!$C$12*'OPEX'!$C$18*AJ$6)</f>
        <v/>
      </c>
      <c r="AK20" s="65">
        <f>IF(AK$3=0,0,'OPEX'!$C$12*'OPEX'!$C$18*AK$6)</f>
        <v/>
      </c>
      <c r="AL20" s="65">
        <f>IF(AL$3=0,0,'OPEX'!$C$12*'OPEX'!$C$18*AL$6)</f>
        <v/>
      </c>
      <c r="AM20" s="65">
        <f>IF(AM$3=0,0,'OPEX'!$C$12*'OPEX'!$C$18*AM$6)</f>
        <v/>
      </c>
      <c r="AN20" s="65">
        <f>IF(AN$3=0,0,'OPEX'!$C$12*'OPEX'!$C$18*AN$6)</f>
        <v/>
      </c>
      <c r="AO20" s="65">
        <f>IF(AO$3=0,0,'OPEX'!$C$12*'OPEX'!$C$18*AO$6)</f>
        <v/>
      </c>
      <c r="AP20" s="65">
        <f>IF(AP$3=0,0,'OPEX'!$C$12*'OPEX'!$C$18*AP$6)</f>
        <v/>
      </c>
      <c r="AQ20" s="65">
        <f>IF(AQ$3=0,0,'OPEX'!$C$12*'OPEX'!$C$18*AQ$6)</f>
        <v/>
      </c>
      <c r="AR20" s="65">
        <f>IF(AR$3=0,0,'OPEX'!$C$12*'OPEX'!$C$18*AR$6)</f>
        <v/>
      </c>
      <c r="AS20" s="65">
        <f>IF(AS$3=0,0,'OPEX'!$C$12*'OPEX'!$C$18*AS$6)</f>
        <v/>
      </c>
      <c r="AT20" s="65">
        <f>IF(AT$3=0,0,'OPEX'!$C$12*'OPEX'!$C$18*AT$6)</f>
        <v/>
      </c>
      <c r="AU20" s="65">
        <f>IF(AU$3=0,0,'OPEX'!$C$12*'OPEX'!$C$18*AU$6)</f>
        <v/>
      </c>
      <c r="AV20" s="65">
        <f>IF(AV$3=0,0,'OPEX'!$C$12*'OPEX'!$C$18*AV$6)</f>
        <v/>
      </c>
      <c r="AW20" s="65">
        <f>IF(AW$3=0,0,'OPEX'!$C$12*'OPEX'!$C$18*AW$6)</f>
        <v/>
      </c>
      <c r="AX20" s="65">
        <f>IF(AX$3=0,0,'OPEX'!$C$12*'OPEX'!$C$18*AX$6)</f>
        <v/>
      </c>
      <c r="AY20" s="65">
        <f>IF(AY$3=0,0,'OPEX'!$C$12*'OPEX'!$C$18*AY$6)</f>
        <v/>
      </c>
      <c r="AZ20" s="65">
        <f>IF(AZ$3=0,0,'OPEX'!$C$12*'OPEX'!$C$18*AZ$6)</f>
        <v/>
      </c>
      <c r="BA20" s="65">
        <f>IF(BA$3=0,0,'OPEX'!$C$12*'OPEX'!$C$18*BA$6)</f>
        <v/>
      </c>
      <c r="BB20" s="65">
        <f>IF(BB$3=0,0,'OPEX'!$C$12*'OPEX'!$C$18*BB$6)</f>
        <v/>
      </c>
      <c r="BC20" s="65">
        <f>IF(BC$3=0,0,'OPEX'!$C$12*'OPEX'!$C$18*BC$6)</f>
        <v/>
      </c>
      <c r="BD20" s="65">
        <f>IF(BD$3=0,0,'OPEX'!$C$12*'OPEX'!$C$18*BD$6)</f>
        <v/>
      </c>
      <c r="BE20" s="65">
        <f>IF(BE$3=0,0,'OPEX'!$C$12*'OPEX'!$C$18*BE$6)</f>
        <v/>
      </c>
      <c r="BF20" s="65">
        <f>IF(BF$3=0,0,'OPEX'!$C$12*'OPEX'!$C$18*BF$6)</f>
        <v/>
      </c>
      <c r="BG20" s="65">
        <f>IF(BG$3=0,0,'OPEX'!$C$12*'OPEX'!$C$18*BG$6)</f>
        <v/>
      </c>
      <c r="BH20" s="65">
        <f>IF(BH$3=0,0,'OPEX'!$C$12*'OPEX'!$C$18*BH$6)</f>
        <v/>
      </c>
      <c r="BI20" s="65">
        <f>IF(BI$3=0,0,'OPEX'!$C$12*'OPEX'!$C$18*BI$6)</f>
        <v/>
      </c>
      <c r="BJ20" s="65">
        <f>IF(BJ$3=0,0,'OPEX'!$C$12*'OPEX'!$C$18*BJ$6)</f>
        <v/>
      </c>
      <c r="BK20" s="65">
        <f>IF(BK$3=0,0,'OPEX'!$C$12*'OPEX'!$C$18*BK$6)</f>
        <v/>
      </c>
      <c r="BL20" s="65">
        <f>IF(BL$3=0,0,'OPEX'!$C$12*'OPEX'!$C$18*BL$6)</f>
        <v/>
      </c>
      <c r="BM20" s="65">
        <f>IF(BM$3=0,0,'OPEX'!$C$12*'OPEX'!$C$18*BM$6)</f>
        <v/>
      </c>
      <c r="BN20" s="65">
        <f>IF(BN$3=0,0,'OPEX'!$C$12*'OPEX'!$C$18*BN$6)</f>
        <v/>
      </c>
      <c r="BO20" s="65">
        <f>IF(BO$3=0,0,'OPEX'!$C$12*'OPEX'!$C$18*BO$6)</f>
        <v/>
      </c>
      <c r="BP20" s="65">
        <f>IF(BP$3=0,0,'OPEX'!$C$12*'OPEX'!$C$18*BP$6)</f>
        <v/>
      </c>
      <c r="BQ20" s="65">
        <f>IF(BQ$3=0,0,'OPEX'!$C$12*'OPEX'!$C$18*BQ$6)</f>
        <v/>
      </c>
      <c r="BR20" s="65">
        <f>IF(BR$3=0,0,'OPEX'!$C$12*'OPEX'!$C$18*BR$6)</f>
        <v/>
      </c>
      <c r="BS20" s="65">
        <f>IF(BS$3=0,0,'OPEX'!$C$12*'OPEX'!$C$18*BS$6)</f>
        <v/>
      </c>
      <c r="BT20" s="65">
        <f>IF(BT$3=0,0,'OPEX'!$C$12*'OPEX'!$C$18*BT$6)</f>
        <v/>
      </c>
      <c r="BU20" s="65">
        <f>IF(BU$3=0,0,'OPEX'!$C$12*'OPEX'!$C$18*BU$6)</f>
        <v/>
      </c>
      <c r="BV20" s="65">
        <f>IF(BV$3=0,0,'OPEX'!$C$12*'OPEX'!$C$18*BV$6)</f>
        <v/>
      </c>
      <c r="BW20" s="65">
        <f>IF(BW$3=0,0,'OPEX'!$C$12*'OPEX'!$C$18*BW$6)</f>
        <v/>
      </c>
      <c r="BX20" s="65">
        <f>IF(BX$3=0,0,'OPEX'!$C$12*'OPEX'!$C$18*BX$6)</f>
        <v/>
      </c>
      <c r="BY20" s="65">
        <f>IF(BY$3=0,0,'OPEX'!$C$12*'OPEX'!$C$18*BY$6)</f>
        <v/>
      </c>
      <c r="BZ20" s="65">
        <f>IF(BZ$3=0,0,'OPEX'!$C$12*'OPEX'!$C$18*BZ$6)</f>
        <v/>
      </c>
      <c r="CA20" s="65">
        <f>IF(CA$3=0,0,'OPEX'!$C$12*'OPEX'!$C$18*CA$6)</f>
        <v/>
      </c>
      <c r="CB20" s="65">
        <f>IF(CB$3=0,0,'OPEX'!$C$12*'OPEX'!$C$18*CB$6)</f>
        <v/>
      </c>
      <c r="CC20" s="65">
        <f>IF(CC$3=0,0,'OPEX'!$C$12*'OPEX'!$C$18*CC$6)</f>
        <v/>
      </c>
      <c r="CD20" s="65">
        <f>IF(CD$3=0,0,'OPEX'!$C$12*'OPEX'!$C$18*CD$6)</f>
        <v/>
      </c>
      <c r="CE20" s="65">
        <f>IF(CE$3=0,0,'OPEX'!$C$12*'OPEX'!$C$18*CE$6)</f>
        <v/>
      </c>
      <c r="CF20" s="65">
        <f>IF(CF$3=0,0,'OPEX'!$C$12*'OPEX'!$C$18*CF$6)</f>
        <v/>
      </c>
      <c r="CG20" s="65">
        <f>IF(CG$3=0,0,'OPEX'!$C$12*'OPEX'!$C$18*CG$6)</f>
        <v/>
      </c>
      <c r="CH20" s="65">
        <f>IF(CH$3=0,0,'OPEX'!$C$12*'OPEX'!$C$18*CH$6)</f>
        <v/>
      </c>
      <c r="CI20" s="65">
        <f>IF(CI$3=0,0,'OPEX'!$C$12*'OPEX'!$C$18*CI$6)</f>
        <v/>
      </c>
      <c r="CJ20" s="65">
        <f>IF(CJ$3=0,0,'OPEX'!$C$12*'OPEX'!$C$18*CJ$6)</f>
        <v/>
      </c>
      <c r="CK20" s="65">
        <f>IF(CK$3=0,0,'OPEX'!$C$12*'OPEX'!$C$18*CK$6)</f>
        <v/>
      </c>
      <c r="CL20" s="65">
        <f>IF(CL$3=0,0,'OPEX'!$C$12*'OPEX'!$C$18*CL$6)</f>
        <v/>
      </c>
      <c r="CM20" s="65">
        <f>IF(CM$3=0,0,'OPEX'!$C$12*'OPEX'!$C$18*CM$6)</f>
        <v/>
      </c>
      <c r="CN20" s="65">
        <f>IF(CN$3=0,0,'OPEX'!$C$12*'OPEX'!$C$18*CN$6)</f>
        <v/>
      </c>
      <c r="CO20" s="65">
        <f>IF(CO$3=0,0,'OPEX'!$C$12*'OPEX'!$C$18*CO$6)</f>
        <v/>
      </c>
      <c r="CP20" s="65">
        <f>IF(CP$3=0,0,'OPEX'!$C$12*'OPEX'!$C$18*CP$6)</f>
        <v/>
      </c>
      <c r="CQ20" s="65">
        <f>IF(CQ$3=0,0,'OPEX'!$C$12*'OPEX'!$C$18*CQ$6)</f>
        <v/>
      </c>
      <c r="CR20" s="65">
        <f>IF(CR$3=0,0,'OPEX'!$C$12*'OPEX'!$C$18*CR$6)</f>
        <v/>
      </c>
      <c r="CS20" s="65">
        <f>IF(CS$3=0,0,'OPEX'!$C$12*'OPEX'!$C$18*CS$6)</f>
        <v/>
      </c>
      <c r="CT20" s="65">
        <f>IF(CT$3=0,0,'OPEX'!$C$12*'OPEX'!$C$18*CT$6)</f>
        <v/>
      </c>
      <c r="CU20" s="65">
        <f>IF(CU$3=0,0,'OPEX'!$C$12*'OPEX'!$C$18*CU$6)</f>
        <v/>
      </c>
      <c r="CV20" s="65">
        <f>IF(CV$3=0,0,'OPEX'!$C$12*'OPEX'!$C$18*CV$6)</f>
        <v/>
      </c>
      <c r="CW20" s="65">
        <f>IF(CW$3=0,0,'OPEX'!$C$12*'OPEX'!$C$18*CW$6)</f>
        <v/>
      </c>
      <c r="CX20" s="65">
        <f>IF(CX$3=0,0,'OPEX'!$C$12*'OPEX'!$C$18*CX$6)</f>
        <v/>
      </c>
      <c r="CY20" s="65">
        <f>IF(CY$3=0,0,'OPEX'!$C$12*'OPEX'!$C$18*CY$6)</f>
        <v/>
      </c>
      <c r="CZ20" s="65">
        <f>IF(CZ$3=0,0,'OPEX'!$C$12*'OPEX'!$C$18*CZ$6)</f>
        <v/>
      </c>
      <c r="DA20" s="65">
        <f>IF(DA$3=0,0,'OPEX'!$C$12*'OPEX'!$C$18*DA$6)</f>
        <v/>
      </c>
      <c r="DB20" s="65">
        <f>IF(DB$3=0,0,'OPEX'!$C$12*'OPEX'!$C$18*DB$6)</f>
        <v/>
      </c>
      <c r="DC20" s="65">
        <f>IF(DC$3=0,0,'OPEX'!$C$12*'OPEX'!$C$18*DC$6)</f>
        <v/>
      </c>
      <c r="DD20" s="65">
        <f>IF(DD$3=0,0,'OPEX'!$C$12*'OPEX'!$C$18*DD$6)</f>
        <v/>
      </c>
      <c r="DE20" s="65">
        <f>IF(DE$3=0,0,'OPEX'!$C$12*'OPEX'!$C$18*DE$6)</f>
        <v/>
      </c>
      <c r="DF20" s="65">
        <f>IF(DF$3=0,0,'OPEX'!$C$12*'OPEX'!$C$18*DF$6)</f>
        <v/>
      </c>
      <c r="DG20" s="65">
        <f>IF(DG$3=0,0,'OPEX'!$C$12*'OPEX'!$C$18*DG$6)</f>
        <v/>
      </c>
      <c r="DH20" s="65">
        <f>IF(DH$3=0,0,'OPEX'!$C$12*'OPEX'!$C$18*DH$6)</f>
        <v/>
      </c>
      <c r="DI20" s="65">
        <f>IF(DI$3=0,0,'OPEX'!$C$12*'OPEX'!$C$18*DI$6)</f>
        <v/>
      </c>
      <c r="DJ20" s="65">
        <f>IF(DJ$3=0,0,'OPEX'!$C$12*'OPEX'!$C$18*DJ$6)</f>
        <v/>
      </c>
      <c r="DK20" s="65">
        <f>IF(DK$3=0,0,'OPEX'!$C$12*'OPEX'!$C$18*DK$6)</f>
        <v/>
      </c>
      <c r="DL20" s="65">
        <f>IF(DL$3=0,0,'OPEX'!$C$12*'OPEX'!$C$18*DL$6)</f>
        <v/>
      </c>
      <c r="DM20" s="65">
        <f>IF(DM$3=0,0,'OPEX'!$C$12*'OPEX'!$C$18*DM$6)</f>
        <v/>
      </c>
      <c r="DN20" s="65">
        <f>IF(DN$3=0,0,'OPEX'!$C$12*'OPEX'!$C$18*DN$6)</f>
        <v/>
      </c>
      <c r="DO20" s="65">
        <f>IF(DO$3=0,0,'OPEX'!$C$12*'OPEX'!$C$18*DO$6)</f>
        <v/>
      </c>
      <c r="DP20" s="65">
        <f>IF(DP$3=0,0,'OPEX'!$C$12*'OPEX'!$C$18*DP$6)</f>
        <v/>
      </c>
      <c r="DQ20" s="65">
        <f>IF(DQ$3=0,0,'OPEX'!$C$12*'OPEX'!$C$18*DQ$6)</f>
        <v/>
      </c>
      <c r="DR20" s="65">
        <f>IF(DR$3=0,0,'OPEX'!$C$12*'OPEX'!$C$18*DR$6)</f>
        <v/>
      </c>
      <c r="DS20" s="65">
        <f>IF(DS$3=0,0,'OPEX'!$C$12*'OPEX'!$C$18*DS$6)</f>
        <v/>
      </c>
    </row>
    <row r="21">
      <c r="B21" s="22" t="inlineStr">
        <is>
          <t>تعبئة العلف</t>
        </is>
      </c>
      <c r="C21" s="65">
        <f>IF(C$3=0,0,'OPEX'!$C$12*'الافتراضات'!$C$45*C$6)</f>
        <v/>
      </c>
      <c r="D21" s="65">
        <f>IF(D$3=0,0,'OPEX'!$C$12*'الافتراضات'!$C$45*D$6)</f>
        <v/>
      </c>
      <c r="E21" s="65">
        <f>IF(E$3=0,0,'OPEX'!$C$12*'الافتراضات'!$C$45*E$6)</f>
        <v/>
      </c>
      <c r="F21" s="65">
        <f>IF(F$3=0,0,'OPEX'!$C$12*'الافتراضات'!$C$45*F$6)</f>
        <v/>
      </c>
      <c r="G21" s="65">
        <f>IF(G$3=0,0,'OPEX'!$C$12*'الافتراضات'!$C$45*G$6)</f>
        <v/>
      </c>
      <c r="H21" s="65">
        <f>IF(H$3=0,0,'OPEX'!$C$12*'الافتراضات'!$C$45*H$6)</f>
        <v/>
      </c>
      <c r="I21" s="65">
        <f>IF(I$3=0,0,'OPEX'!$C$12*'الافتراضات'!$C$45*I$6)</f>
        <v/>
      </c>
      <c r="J21" s="65">
        <f>IF(J$3=0,0,'OPEX'!$C$12*'الافتراضات'!$C$45*J$6)</f>
        <v/>
      </c>
      <c r="K21" s="65">
        <f>IF(K$3=0,0,'OPEX'!$C$12*'الافتراضات'!$C$45*K$6)</f>
        <v/>
      </c>
      <c r="L21" s="65">
        <f>IF(L$3=0,0,'OPEX'!$C$12*'الافتراضات'!$C$45*L$6)</f>
        <v/>
      </c>
      <c r="M21" s="65">
        <f>IF(M$3=0,0,'OPEX'!$C$12*'الافتراضات'!$C$45*M$6)</f>
        <v/>
      </c>
      <c r="N21" s="65">
        <f>IF(N$3=0,0,'OPEX'!$C$12*'الافتراضات'!$C$45*N$6)</f>
        <v/>
      </c>
      <c r="O21" s="65">
        <f>IF(O$3=0,0,'OPEX'!$C$12*'الافتراضات'!$C$45*O$6)</f>
        <v/>
      </c>
      <c r="P21" s="65">
        <f>IF(P$3=0,0,'OPEX'!$C$12*'الافتراضات'!$C$45*P$6)</f>
        <v/>
      </c>
      <c r="Q21" s="65">
        <f>IF(Q$3=0,0,'OPEX'!$C$12*'الافتراضات'!$C$45*Q$6)</f>
        <v/>
      </c>
      <c r="R21" s="65">
        <f>IF(R$3=0,0,'OPEX'!$C$12*'الافتراضات'!$C$45*R$6)</f>
        <v/>
      </c>
      <c r="S21" s="65">
        <f>IF(S$3=0,0,'OPEX'!$C$12*'الافتراضات'!$C$45*S$6)</f>
        <v/>
      </c>
      <c r="T21" s="65">
        <f>IF(T$3=0,0,'OPEX'!$C$12*'الافتراضات'!$C$45*T$6)</f>
        <v/>
      </c>
      <c r="U21" s="65">
        <f>IF(U$3=0,0,'OPEX'!$C$12*'الافتراضات'!$C$45*U$6)</f>
        <v/>
      </c>
      <c r="V21" s="65">
        <f>IF(V$3=0,0,'OPEX'!$C$12*'الافتراضات'!$C$45*V$6)</f>
        <v/>
      </c>
      <c r="W21" s="65">
        <f>IF(W$3=0,0,'OPEX'!$C$12*'الافتراضات'!$C$45*W$6)</f>
        <v/>
      </c>
      <c r="X21" s="65">
        <f>IF(X$3=0,0,'OPEX'!$C$12*'الافتراضات'!$C$45*X$6)</f>
        <v/>
      </c>
      <c r="Y21" s="65">
        <f>IF(Y$3=0,0,'OPEX'!$C$12*'الافتراضات'!$C$45*Y$6)</f>
        <v/>
      </c>
      <c r="Z21" s="65">
        <f>IF(Z$3=0,0,'OPEX'!$C$12*'الافتراضات'!$C$45*Z$6)</f>
        <v/>
      </c>
      <c r="AA21" s="65">
        <f>IF(AA$3=0,0,'OPEX'!$C$12*'الافتراضات'!$C$45*AA$6)</f>
        <v/>
      </c>
      <c r="AB21" s="65">
        <f>IF(AB$3=0,0,'OPEX'!$C$12*'الافتراضات'!$C$45*AB$6)</f>
        <v/>
      </c>
      <c r="AC21" s="65">
        <f>IF(AC$3=0,0,'OPEX'!$C$12*'الافتراضات'!$C$45*AC$6)</f>
        <v/>
      </c>
      <c r="AD21" s="65">
        <f>IF(AD$3=0,0,'OPEX'!$C$12*'الافتراضات'!$C$45*AD$6)</f>
        <v/>
      </c>
      <c r="AE21" s="65">
        <f>IF(AE$3=0,0,'OPEX'!$C$12*'الافتراضات'!$C$45*AE$6)</f>
        <v/>
      </c>
      <c r="AF21" s="65">
        <f>IF(AF$3=0,0,'OPEX'!$C$12*'الافتراضات'!$C$45*AF$6)</f>
        <v/>
      </c>
      <c r="AG21" s="65">
        <f>IF(AG$3=0,0,'OPEX'!$C$12*'الافتراضات'!$C$45*AG$6)</f>
        <v/>
      </c>
      <c r="AH21" s="65">
        <f>IF(AH$3=0,0,'OPEX'!$C$12*'الافتراضات'!$C$45*AH$6)</f>
        <v/>
      </c>
      <c r="AI21" s="65">
        <f>IF(AI$3=0,0,'OPEX'!$C$12*'الافتراضات'!$C$45*AI$6)</f>
        <v/>
      </c>
      <c r="AJ21" s="65">
        <f>IF(AJ$3=0,0,'OPEX'!$C$12*'الافتراضات'!$C$45*AJ$6)</f>
        <v/>
      </c>
      <c r="AK21" s="65">
        <f>IF(AK$3=0,0,'OPEX'!$C$12*'الافتراضات'!$C$45*AK$6)</f>
        <v/>
      </c>
      <c r="AL21" s="65">
        <f>IF(AL$3=0,0,'OPEX'!$C$12*'الافتراضات'!$C$45*AL$6)</f>
        <v/>
      </c>
      <c r="AM21" s="65">
        <f>IF(AM$3=0,0,'OPEX'!$C$12*'الافتراضات'!$C$45*AM$6)</f>
        <v/>
      </c>
      <c r="AN21" s="65">
        <f>IF(AN$3=0,0,'OPEX'!$C$12*'الافتراضات'!$C$45*AN$6)</f>
        <v/>
      </c>
      <c r="AO21" s="65">
        <f>IF(AO$3=0,0,'OPEX'!$C$12*'الافتراضات'!$C$45*AO$6)</f>
        <v/>
      </c>
      <c r="AP21" s="65">
        <f>IF(AP$3=0,0,'OPEX'!$C$12*'الافتراضات'!$C$45*AP$6)</f>
        <v/>
      </c>
      <c r="AQ21" s="65">
        <f>IF(AQ$3=0,0,'OPEX'!$C$12*'الافتراضات'!$C$45*AQ$6)</f>
        <v/>
      </c>
      <c r="AR21" s="65">
        <f>IF(AR$3=0,0,'OPEX'!$C$12*'الافتراضات'!$C$45*AR$6)</f>
        <v/>
      </c>
      <c r="AS21" s="65">
        <f>IF(AS$3=0,0,'OPEX'!$C$12*'الافتراضات'!$C$45*AS$6)</f>
        <v/>
      </c>
      <c r="AT21" s="65">
        <f>IF(AT$3=0,0,'OPEX'!$C$12*'الافتراضات'!$C$45*AT$6)</f>
        <v/>
      </c>
      <c r="AU21" s="65">
        <f>IF(AU$3=0,0,'OPEX'!$C$12*'الافتراضات'!$C$45*AU$6)</f>
        <v/>
      </c>
      <c r="AV21" s="65">
        <f>IF(AV$3=0,0,'OPEX'!$C$12*'الافتراضات'!$C$45*AV$6)</f>
        <v/>
      </c>
      <c r="AW21" s="65">
        <f>IF(AW$3=0,0,'OPEX'!$C$12*'الافتراضات'!$C$45*AW$6)</f>
        <v/>
      </c>
      <c r="AX21" s="65">
        <f>IF(AX$3=0,0,'OPEX'!$C$12*'الافتراضات'!$C$45*AX$6)</f>
        <v/>
      </c>
      <c r="AY21" s="65">
        <f>IF(AY$3=0,0,'OPEX'!$C$12*'الافتراضات'!$C$45*AY$6)</f>
        <v/>
      </c>
      <c r="AZ21" s="65">
        <f>IF(AZ$3=0,0,'OPEX'!$C$12*'الافتراضات'!$C$45*AZ$6)</f>
        <v/>
      </c>
      <c r="BA21" s="65">
        <f>IF(BA$3=0,0,'OPEX'!$C$12*'الافتراضات'!$C$45*BA$6)</f>
        <v/>
      </c>
      <c r="BB21" s="65">
        <f>IF(BB$3=0,0,'OPEX'!$C$12*'الافتراضات'!$C$45*BB$6)</f>
        <v/>
      </c>
      <c r="BC21" s="65">
        <f>IF(BC$3=0,0,'OPEX'!$C$12*'الافتراضات'!$C$45*BC$6)</f>
        <v/>
      </c>
      <c r="BD21" s="65">
        <f>IF(BD$3=0,0,'OPEX'!$C$12*'الافتراضات'!$C$45*BD$6)</f>
        <v/>
      </c>
      <c r="BE21" s="65">
        <f>IF(BE$3=0,0,'OPEX'!$C$12*'الافتراضات'!$C$45*BE$6)</f>
        <v/>
      </c>
      <c r="BF21" s="65">
        <f>IF(BF$3=0,0,'OPEX'!$C$12*'الافتراضات'!$C$45*BF$6)</f>
        <v/>
      </c>
      <c r="BG21" s="65">
        <f>IF(BG$3=0,0,'OPEX'!$C$12*'الافتراضات'!$C$45*BG$6)</f>
        <v/>
      </c>
      <c r="BH21" s="65">
        <f>IF(BH$3=0,0,'OPEX'!$C$12*'الافتراضات'!$C$45*BH$6)</f>
        <v/>
      </c>
      <c r="BI21" s="65">
        <f>IF(BI$3=0,0,'OPEX'!$C$12*'الافتراضات'!$C$45*BI$6)</f>
        <v/>
      </c>
      <c r="BJ21" s="65">
        <f>IF(BJ$3=0,0,'OPEX'!$C$12*'الافتراضات'!$C$45*BJ$6)</f>
        <v/>
      </c>
      <c r="BK21" s="65">
        <f>IF(BK$3=0,0,'OPEX'!$C$12*'الافتراضات'!$C$45*BK$6)</f>
        <v/>
      </c>
      <c r="BL21" s="65">
        <f>IF(BL$3=0,0,'OPEX'!$C$12*'الافتراضات'!$C$45*BL$6)</f>
        <v/>
      </c>
      <c r="BM21" s="65">
        <f>IF(BM$3=0,0,'OPEX'!$C$12*'الافتراضات'!$C$45*BM$6)</f>
        <v/>
      </c>
      <c r="BN21" s="65">
        <f>IF(BN$3=0,0,'OPEX'!$C$12*'الافتراضات'!$C$45*BN$6)</f>
        <v/>
      </c>
      <c r="BO21" s="65">
        <f>IF(BO$3=0,0,'OPEX'!$C$12*'الافتراضات'!$C$45*BO$6)</f>
        <v/>
      </c>
      <c r="BP21" s="65">
        <f>IF(BP$3=0,0,'OPEX'!$C$12*'الافتراضات'!$C$45*BP$6)</f>
        <v/>
      </c>
      <c r="BQ21" s="65">
        <f>IF(BQ$3=0,0,'OPEX'!$C$12*'الافتراضات'!$C$45*BQ$6)</f>
        <v/>
      </c>
      <c r="BR21" s="65">
        <f>IF(BR$3=0,0,'OPEX'!$C$12*'الافتراضات'!$C$45*BR$6)</f>
        <v/>
      </c>
      <c r="BS21" s="65">
        <f>IF(BS$3=0,0,'OPEX'!$C$12*'الافتراضات'!$C$45*BS$6)</f>
        <v/>
      </c>
      <c r="BT21" s="65">
        <f>IF(BT$3=0,0,'OPEX'!$C$12*'الافتراضات'!$C$45*BT$6)</f>
        <v/>
      </c>
      <c r="BU21" s="65">
        <f>IF(BU$3=0,0,'OPEX'!$C$12*'الافتراضات'!$C$45*BU$6)</f>
        <v/>
      </c>
      <c r="BV21" s="65">
        <f>IF(BV$3=0,0,'OPEX'!$C$12*'الافتراضات'!$C$45*BV$6)</f>
        <v/>
      </c>
      <c r="BW21" s="65">
        <f>IF(BW$3=0,0,'OPEX'!$C$12*'الافتراضات'!$C$45*BW$6)</f>
        <v/>
      </c>
      <c r="BX21" s="65">
        <f>IF(BX$3=0,0,'OPEX'!$C$12*'الافتراضات'!$C$45*BX$6)</f>
        <v/>
      </c>
      <c r="BY21" s="65">
        <f>IF(BY$3=0,0,'OPEX'!$C$12*'الافتراضات'!$C$45*BY$6)</f>
        <v/>
      </c>
      <c r="BZ21" s="65">
        <f>IF(BZ$3=0,0,'OPEX'!$C$12*'الافتراضات'!$C$45*BZ$6)</f>
        <v/>
      </c>
      <c r="CA21" s="65">
        <f>IF(CA$3=0,0,'OPEX'!$C$12*'الافتراضات'!$C$45*CA$6)</f>
        <v/>
      </c>
      <c r="CB21" s="65">
        <f>IF(CB$3=0,0,'OPEX'!$C$12*'الافتراضات'!$C$45*CB$6)</f>
        <v/>
      </c>
      <c r="CC21" s="65">
        <f>IF(CC$3=0,0,'OPEX'!$C$12*'الافتراضات'!$C$45*CC$6)</f>
        <v/>
      </c>
      <c r="CD21" s="65">
        <f>IF(CD$3=0,0,'OPEX'!$C$12*'الافتراضات'!$C$45*CD$6)</f>
        <v/>
      </c>
      <c r="CE21" s="65">
        <f>IF(CE$3=0,0,'OPEX'!$C$12*'الافتراضات'!$C$45*CE$6)</f>
        <v/>
      </c>
      <c r="CF21" s="65">
        <f>IF(CF$3=0,0,'OPEX'!$C$12*'الافتراضات'!$C$45*CF$6)</f>
        <v/>
      </c>
      <c r="CG21" s="65">
        <f>IF(CG$3=0,0,'OPEX'!$C$12*'الافتراضات'!$C$45*CG$6)</f>
        <v/>
      </c>
      <c r="CH21" s="65">
        <f>IF(CH$3=0,0,'OPEX'!$C$12*'الافتراضات'!$C$45*CH$6)</f>
        <v/>
      </c>
      <c r="CI21" s="65">
        <f>IF(CI$3=0,0,'OPEX'!$C$12*'الافتراضات'!$C$45*CI$6)</f>
        <v/>
      </c>
      <c r="CJ21" s="65">
        <f>IF(CJ$3=0,0,'OPEX'!$C$12*'الافتراضات'!$C$45*CJ$6)</f>
        <v/>
      </c>
      <c r="CK21" s="65">
        <f>IF(CK$3=0,0,'OPEX'!$C$12*'الافتراضات'!$C$45*CK$6)</f>
        <v/>
      </c>
      <c r="CL21" s="65">
        <f>IF(CL$3=0,0,'OPEX'!$C$12*'الافتراضات'!$C$45*CL$6)</f>
        <v/>
      </c>
      <c r="CM21" s="65">
        <f>IF(CM$3=0,0,'OPEX'!$C$12*'الافتراضات'!$C$45*CM$6)</f>
        <v/>
      </c>
      <c r="CN21" s="65">
        <f>IF(CN$3=0,0,'OPEX'!$C$12*'الافتراضات'!$C$45*CN$6)</f>
        <v/>
      </c>
      <c r="CO21" s="65">
        <f>IF(CO$3=0,0,'OPEX'!$C$12*'الافتراضات'!$C$45*CO$6)</f>
        <v/>
      </c>
      <c r="CP21" s="65">
        <f>IF(CP$3=0,0,'OPEX'!$C$12*'الافتراضات'!$C$45*CP$6)</f>
        <v/>
      </c>
      <c r="CQ21" s="65">
        <f>IF(CQ$3=0,0,'OPEX'!$C$12*'الافتراضات'!$C$45*CQ$6)</f>
        <v/>
      </c>
      <c r="CR21" s="65">
        <f>IF(CR$3=0,0,'OPEX'!$C$12*'الافتراضات'!$C$45*CR$6)</f>
        <v/>
      </c>
      <c r="CS21" s="65">
        <f>IF(CS$3=0,0,'OPEX'!$C$12*'الافتراضات'!$C$45*CS$6)</f>
        <v/>
      </c>
      <c r="CT21" s="65">
        <f>IF(CT$3=0,0,'OPEX'!$C$12*'الافتراضات'!$C$45*CT$6)</f>
        <v/>
      </c>
      <c r="CU21" s="65">
        <f>IF(CU$3=0,0,'OPEX'!$C$12*'الافتراضات'!$C$45*CU$6)</f>
        <v/>
      </c>
      <c r="CV21" s="65">
        <f>IF(CV$3=0,0,'OPEX'!$C$12*'الافتراضات'!$C$45*CV$6)</f>
        <v/>
      </c>
      <c r="CW21" s="65">
        <f>IF(CW$3=0,0,'OPEX'!$C$12*'الافتراضات'!$C$45*CW$6)</f>
        <v/>
      </c>
      <c r="CX21" s="65">
        <f>IF(CX$3=0,0,'OPEX'!$C$12*'الافتراضات'!$C$45*CX$6)</f>
        <v/>
      </c>
      <c r="CY21" s="65">
        <f>IF(CY$3=0,0,'OPEX'!$C$12*'الافتراضات'!$C$45*CY$6)</f>
        <v/>
      </c>
      <c r="CZ21" s="65">
        <f>IF(CZ$3=0,0,'OPEX'!$C$12*'الافتراضات'!$C$45*CZ$6)</f>
        <v/>
      </c>
      <c r="DA21" s="65">
        <f>IF(DA$3=0,0,'OPEX'!$C$12*'الافتراضات'!$C$45*DA$6)</f>
        <v/>
      </c>
      <c r="DB21" s="65">
        <f>IF(DB$3=0,0,'OPEX'!$C$12*'الافتراضات'!$C$45*DB$6)</f>
        <v/>
      </c>
      <c r="DC21" s="65">
        <f>IF(DC$3=0,0,'OPEX'!$C$12*'الافتراضات'!$C$45*DC$6)</f>
        <v/>
      </c>
      <c r="DD21" s="65">
        <f>IF(DD$3=0,0,'OPEX'!$C$12*'الافتراضات'!$C$45*DD$6)</f>
        <v/>
      </c>
      <c r="DE21" s="65">
        <f>IF(DE$3=0,0,'OPEX'!$C$12*'الافتراضات'!$C$45*DE$6)</f>
        <v/>
      </c>
      <c r="DF21" s="65">
        <f>IF(DF$3=0,0,'OPEX'!$C$12*'الافتراضات'!$C$45*DF$6)</f>
        <v/>
      </c>
      <c r="DG21" s="65">
        <f>IF(DG$3=0,0,'OPEX'!$C$12*'الافتراضات'!$C$45*DG$6)</f>
        <v/>
      </c>
      <c r="DH21" s="65">
        <f>IF(DH$3=0,0,'OPEX'!$C$12*'الافتراضات'!$C$45*DH$6)</f>
        <v/>
      </c>
      <c r="DI21" s="65">
        <f>IF(DI$3=0,0,'OPEX'!$C$12*'الافتراضات'!$C$45*DI$6)</f>
        <v/>
      </c>
      <c r="DJ21" s="65">
        <f>IF(DJ$3=0,0,'OPEX'!$C$12*'الافتراضات'!$C$45*DJ$6)</f>
        <v/>
      </c>
      <c r="DK21" s="65">
        <f>IF(DK$3=0,0,'OPEX'!$C$12*'الافتراضات'!$C$45*DK$6)</f>
        <v/>
      </c>
      <c r="DL21" s="65">
        <f>IF(DL$3=0,0,'OPEX'!$C$12*'الافتراضات'!$C$45*DL$6)</f>
        <v/>
      </c>
      <c r="DM21" s="65">
        <f>IF(DM$3=0,0,'OPEX'!$C$12*'الافتراضات'!$C$45*DM$6)</f>
        <v/>
      </c>
      <c r="DN21" s="65">
        <f>IF(DN$3=0,0,'OPEX'!$C$12*'الافتراضات'!$C$45*DN$6)</f>
        <v/>
      </c>
      <c r="DO21" s="65">
        <f>IF(DO$3=0,0,'OPEX'!$C$12*'الافتراضات'!$C$45*DO$6)</f>
        <v/>
      </c>
      <c r="DP21" s="65">
        <f>IF(DP$3=0,0,'OPEX'!$C$12*'الافتراضات'!$C$45*DP$6)</f>
        <v/>
      </c>
      <c r="DQ21" s="65">
        <f>IF(DQ$3=0,0,'OPEX'!$C$12*'الافتراضات'!$C$45*DQ$6)</f>
        <v/>
      </c>
      <c r="DR21" s="65">
        <f>IF(DR$3=0,0,'OPEX'!$C$12*'الافتراضات'!$C$45*DR$6)</f>
        <v/>
      </c>
      <c r="DS21" s="65">
        <f>IF(DS$3=0,0,'OPEX'!$C$12*'الافتراضات'!$C$45*DS$6)</f>
        <v/>
      </c>
    </row>
    <row r="22">
      <c r="B22" s="22" t="inlineStr">
        <is>
          <t>نقل العلف</t>
        </is>
      </c>
      <c r="C22" s="65">
        <f>IF(C$3=0,0,'OPEX'!$C$12*'الافتراضات'!$C$46*C$6)</f>
        <v/>
      </c>
      <c r="D22" s="65">
        <f>IF(D$3=0,0,'OPEX'!$C$12*'الافتراضات'!$C$46*D$6)</f>
        <v/>
      </c>
      <c r="E22" s="65">
        <f>IF(E$3=0,0,'OPEX'!$C$12*'الافتراضات'!$C$46*E$6)</f>
        <v/>
      </c>
      <c r="F22" s="65">
        <f>IF(F$3=0,0,'OPEX'!$C$12*'الافتراضات'!$C$46*F$6)</f>
        <v/>
      </c>
      <c r="G22" s="65">
        <f>IF(G$3=0,0,'OPEX'!$C$12*'الافتراضات'!$C$46*G$6)</f>
        <v/>
      </c>
      <c r="H22" s="65">
        <f>IF(H$3=0,0,'OPEX'!$C$12*'الافتراضات'!$C$46*H$6)</f>
        <v/>
      </c>
      <c r="I22" s="65">
        <f>IF(I$3=0,0,'OPEX'!$C$12*'الافتراضات'!$C$46*I$6)</f>
        <v/>
      </c>
      <c r="J22" s="65">
        <f>IF(J$3=0,0,'OPEX'!$C$12*'الافتراضات'!$C$46*J$6)</f>
        <v/>
      </c>
      <c r="K22" s="65">
        <f>IF(K$3=0,0,'OPEX'!$C$12*'الافتراضات'!$C$46*K$6)</f>
        <v/>
      </c>
      <c r="L22" s="65">
        <f>IF(L$3=0,0,'OPEX'!$C$12*'الافتراضات'!$C$46*L$6)</f>
        <v/>
      </c>
      <c r="M22" s="65">
        <f>IF(M$3=0,0,'OPEX'!$C$12*'الافتراضات'!$C$46*M$6)</f>
        <v/>
      </c>
      <c r="N22" s="65">
        <f>IF(N$3=0,0,'OPEX'!$C$12*'الافتراضات'!$C$46*N$6)</f>
        <v/>
      </c>
      <c r="O22" s="65">
        <f>IF(O$3=0,0,'OPEX'!$C$12*'الافتراضات'!$C$46*O$6)</f>
        <v/>
      </c>
      <c r="P22" s="65">
        <f>IF(P$3=0,0,'OPEX'!$C$12*'الافتراضات'!$C$46*P$6)</f>
        <v/>
      </c>
      <c r="Q22" s="65">
        <f>IF(Q$3=0,0,'OPEX'!$C$12*'الافتراضات'!$C$46*Q$6)</f>
        <v/>
      </c>
      <c r="R22" s="65">
        <f>IF(R$3=0,0,'OPEX'!$C$12*'الافتراضات'!$C$46*R$6)</f>
        <v/>
      </c>
      <c r="S22" s="65">
        <f>IF(S$3=0,0,'OPEX'!$C$12*'الافتراضات'!$C$46*S$6)</f>
        <v/>
      </c>
      <c r="T22" s="65">
        <f>IF(T$3=0,0,'OPEX'!$C$12*'الافتراضات'!$C$46*T$6)</f>
        <v/>
      </c>
      <c r="U22" s="65">
        <f>IF(U$3=0,0,'OPEX'!$C$12*'الافتراضات'!$C$46*U$6)</f>
        <v/>
      </c>
      <c r="V22" s="65">
        <f>IF(V$3=0,0,'OPEX'!$C$12*'الافتراضات'!$C$46*V$6)</f>
        <v/>
      </c>
      <c r="W22" s="65">
        <f>IF(W$3=0,0,'OPEX'!$C$12*'الافتراضات'!$C$46*W$6)</f>
        <v/>
      </c>
      <c r="X22" s="65">
        <f>IF(X$3=0,0,'OPEX'!$C$12*'الافتراضات'!$C$46*X$6)</f>
        <v/>
      </c>
      <c r="Y22" s="65">
        <f>IF(Y$3=0,0,'OPEX'!$C$12*'الافتراضات'!$C$46*Y$6)</f>
        <v/>
      </c>
      <c r="Z22" s="65">
        <f>IF(Z$3=0,0,'OPEX'!$C$12*'الافتراضات'!$C$46*Z$6)</f>
        <v/>
      </c>
      <c r="AA22" s="65">
        <f>IF(AA$3=0,0,'OPEX'!$C$12*'الافتراضات'!$C$46*AA$6)</f>
        <v/>
      </c>
      <c r="AB22" s="65">
        <f>IF(AB$3=0,0,'OPEX'!$C$12*'الافتراضات'!$C$46*AB$6)</f>
        <v/>
      </c>
      <c r="AC22" s="65">
        <f>IF(AC$3=0,0,'OPEX'!$C$12*'الافتراضات'!$C$46*AC$6)</f>
        <v/>
      </c>
      <c r="AD22" s="65">
        <f>IF(AD$3=0,0,'OPEX'!$C$12*'الافتراضات'!$C$46*AD$6)</f>
        <v/>
      </c>
      <c r="AE22" s="65">
        <f>IF(AE$3=0,0,'OPEX'!$C$12*'الافتراضات'!$C$46*AE$6)</f>
        <v/>
      </c>
      <c r="AF22" s="65">
        <f>IF(AF$3=0,0,'OPEX'!$C$12*'الافتراضات'!$C$46*AF$6)</f>
        <v/>
      </c>
      <c r="AG22" s="65">
        <f>IF(AG$3=0,0,'OPEX'!$C$12*'الافتراضات'!$C$46*AG$6)</f>
        <v/>
      </c>
      <c r="AH22" s="65">
        <f>IF(AH$3=0,0,'OPEX'!$C$12*'الافتراضات'!$C$46*AH$6)</f>
        <v/>
      </c>
      <c r="AI22" s="65">
        <f>IF(AI$3=0,0,'OPEX'!$C$12*'الافتراضات'!$C$46*AI$6)</f>
        <v/>
      </c>
      <c r="AJ22" s="65">
        <f>IF(AJ$3=0,0,'OPEX'!$C$12*'الافتراضات'!$C$46*AJ$6)</f>
        <v/>
      </c>
      <c r="AK22" s="65">
        <f>IF(AK$3=0,0,'OPEX'!$C$12*'الافتراضات'!$C$46*AK$6)</f>
        <v/>
      </c>
      <c r="AL22" s="65">
        <f>IF(AL$3=0,0,'OPEX'!$C$12*'الافتراضات'!$C$46*AL$6)</f>
        <v/>
      </c>
      <c r="AM22" s="65">
        <f>IF(AM$3=0,0,'OPEX'!$C$12*'الافتراضات'!$C$46*AM$6)</f>
        <v/>
      </c>
      <c r="AN22" s="65">
        <f>IF(AN$3=0,0,'OPEX'!$C$12*'الافتراضات'!$C$46*AN$6)</f>
        <v/>
      </c>
      <c r="AO22" s="65">
        <f>IF(AO$3=0,0,'OPEX'!$C$12*'الافتراضات'!$C$46*AO$6)</f>
        <v/>
      </c>
      <c r="AP22" s="65">
        <f>IF(AP$3=0,0,'OPEX'!$C$12*'الافتراضات'!$C$46*AP$6)</f>
        <v/>
      </c>
      <c r="AQ22" s="65">
        <f>IF(AQ$3=0,0,'OPEX'!$C$12*'الافتراضات'!$C$46*AQ$6)</f>
        <v/>
      </c>
      <c r="AR22" s="65">
        <f>IF(AR$3=0,0,'OPEX'!$C$12*'الافتراضات'!$C$46*AR$6)</f>
        <v/>
      </c>
      <c r="AS22" s="65">
        <f>IF(AS$3=0,0,'OPEX'!$C$12*'الافتراضات'!$C$46*AS$6)</f>
        <v/>
      </c>
      <c r="AT22" s="65">
        <f>IF(AT$3=0,0,'OPEX'!$C$12*'الافتراضات'!$C$46*AT$6)</f>
        <v/>
      </c>
      <c r="AU22" s="65">
        <f>IF(AU$3=0,0,'OPEX'!$C$12*'الافتراضات'!$C$46*AU$6)</f>
        <v/>
      </c>
      <c r="AV22" s="65">
        <f>IF(AV$3=0,0,'OPEX'!$C$12*'الافتراضات'!$C$46*AV$6)</f>
        <v/>
      </c>
      <c r="AW22" s="65">
        <f>IF(AW$3=0,0,'OPEX'!$C$12*'الافتراضات'!$C$46*AW$6)</f>
        <v/>
      </c>
      <c r="AX22" s="65">
        <f>IF(AX$3=0,0,'OPEX'!$C$12*'الافتراضات'!$C$46*AX$6)</f>
        <v/>
      </c>
      <c r="AY22" s="65">
        <f>IF(AY$3=0,0,'OPEX'!$C$12*'الافتراضات'!$C$46*AY$6)</f>
        <v/>
      </c>
      <c r="AZ22" s="65">
        <f>IF(AZ$3=0,0,'OPEX'!$C$12*'الافتراضات'!$C$46*AZ$6)</f>
        <v/>
      </c>
      <c r="BA22" s="65">
        <f>IF(BA$3=0,0,'OPEX'!$C$12*'الافتراضات'!$C$46*BA$6)</f>
        <v/>
      </c>
      <c r="BB22" s="65">
        <f>IF(BB$3=0,0,'OPEX'!$C$12*'الافتراضات'!$C$46*BB$6)</f>
        <v/>
      </c>
      <c r="BC22" s="65">
        <f>IF(BC$3=0,0,'OPEX'!$C$12*'الافتراضات'!$C$46*BC$6)</f>
        <v/>
      </c>
      <c r="BD22" s="65">
        <f>IF(BD$3=0,0,'OPEX'!$C$12*'الافتراضات'!$C$46*BD$6)</f>
        <v/>
      </c>
      <c r="BE22" s="65">
        <f>IF(BE$3=0,0,'OPEX'!$C$12*'الافتراضات'!$C$46*BE$6)</f>
        <v/>
      </c>
      <c r="BF22" s="65">
        <f>IF(BF$3=0,0,'OPEX'!$C$12*'الافتراضات'!$C$46*BF$6)</f>
        <v/>
      </c>
      <c r="BG22" s="65">
        <f>IF(BG$3=0,0,'OPEX'!$C$12*'الافتراضات'!$C$46*BG$6)</f>
        <v/>
      </c>
      <c r="BH22" s="65">
        <f>IF(BH$3=0,0,'OPEX'!$C$12*'الافتراضات'!$C$46*BH$6)</f>
        <v/>
      </c>
      <c r="BI22" s="65">
        <f>IF(BI$3=0,0,'OPEX'!$C$12*'الافتراضات'!$C$46*BI$6)</f>
        <v/>
      </c>
      <c r="BJ22" s="65">
        <f>IF(BJ$3=0,0,'OPEX'!$C$12*'الافتراضات'!$C$46*BJ$6)</f>
        <v/>
      </c>
      <c r="BK22" s="65">
        <f>IF(BK$3=0,0,'OPEX'!$C$12*'الافتراضات'!$C$46*BK$6)</f>
        <v/>
      </c>
      <c r="BL22" s="65">
        <f>IF(BL$3=0,0,'OPEX'!$C$12*'الافتراضات'!$C$46*BL$6)</f>
        <v/>
      </c>
      <c r="BM22" s="65">
        <f>IF(BM$3=0,0,'OPEX'!$C$12*'الافتراضات'!$C$46*BM$6)</f>
        <v/>
      </c>
      <c r="BN22" s="65">
        <f>IF(BN$3=0,0,'OPEX'!$C$12*'الافتراضات'!$C$46*BN$6)</f>
        <v/>
      </c>
      <c r="BO22" s="65">
        <f>IF(BO$3=0,0,'OPEX'!$C$12*'الافتراضات'!$C$46*BO$6)</f>
        <v/>
      </c>
      <c r="BP22" s="65">
        <f>IF(BP$3=0,0,'OPEX'!$C$12*'الافتراضات'!$C$46*BP$6)</f>
        <v/>
      </c>
      <c r="BQ22" s="65">
        <f>IF(BQ$3=0,0,'OPEX'!$C$12*'الافتراضات'!$C$46*BQ$6)</f>
        <v/>
      </c>
      <c r="BR22" s="65">
        <f>IF(BR$3=0,0,'OPEX'!$C$12*'الافتراضات'!$C$46*BR$6)</f>
        <v/>
      </c>
      <c r="BS22" s="65">
        <f>IF(BS$3=0,0,'OPEX'!$C$12*'الافتراضات'!$C$46*BS$6)</f>
        <v/>
      </c>
      <c r="BT22" s="65">
        <f>IF(BT$3=0,0,'OPEX'!$C$12*'الافتراضات'!$C$46*BT$6)</f>
        <v/>
      </c>
      <c r="BU22" s="65">
        <f>IF(BU$3=0,0,'OPEX'!$C$12*'الافتراضات'!$C$46*BU$6)</f>
        <v/>
      </c>
      <c r="BV22" s="65">
        <f>IF(BV$3=0,0,'OPEX'!$C$12*'الافتراضات'!$C$46*BV$6)</f>
        <v/>
      </c>
      <c r="BW22" s="65">
        <f>IF(BW$3=0,0,'OPEX'!$C$12*'الافتراضات'!$C$46*BW$6)</f>
        <v/>
      </c>
      <c r="BX22" s="65">
        <f>IF(BX$3=0,0,'OPEX'!$C$12*'الافتراضات'!$C$46*BX$6)</f>
        <v/>
      </c>
      <c r="BY22" s="65">
        <f>IF(BY$3=0,0,'OPEX'!$C$12*'الافتراضات'!$C$46*BY$6)</f>
        <v/>
      </c>
      <c r="BZ22" s="65">
        <f>IF(BZ$3=0,0,'OPEX'!$C$12*'الافتراضات'!$C$46*BZ$6)</f>
        <v/>
      </c>
      <c r="CA22" s="65">
        <f>IF(CA$3=0,0,'OPEX'!$C$12*'الافتراضات'!$C$46*CA$6)</f>
        <v/>
      </c>
      <c r="CB22" s="65">
        <f>IF(CB$3=0,0,'OPEX'!$C$12*'الافتراضات'!$C$46*CB$6)</f>
        <v/>
      </c>
      <c r="CC22" s="65">
        <f>IF(CC$3=0,0,'OPEX'!$C$12*'الافتراضات'!$C$46*CC$6)</f>
        <v/>
      </c>
      <c r="CD22" s="65">
        <f>IF(CD$3=0,0,'OPEX'!$C$12*'الافتراضات'!$C$46*CD$6)</f>
        <v/>
      </c>
      <c r="CE22" s="65">
        <f>IF(CE$3=0,0,'OPEX'!$C$12*'الافتراضات'!$C$46*CE$6)</f>
        <v/>
      </c>
      <c r="CF22" s="65">
        <f>IF(CF$3=0,0,'OPEX'!$C$12*'الافتراضات'!$C$46*CF$6)</f>
        <v/>
      </c>
      <c r="CG22" s="65">
        <f>IF(CG$3=0,0,'OPEX'!$C$12*'الافتراضات'!$C$46*CG$6)</f>
        <v/>
      </c>
      <c r="CH22" s="65">
        <f>IF(CH$3=0,0,'OPEX'!$C$12*'الافتراضات'!$C$46*CH$6)</f>
        <v/>
      </c>
      <c r="CI22" s="65">
        <f>IF(CI$3=0,0,'OPEX'!$C$12*'الافتراضات'!$C$46*CI$6)</f>
        <v/>
      </c>
      <c r="CJ22" s="65">
        <f>IF(CJ$3=0,0,'OPEX'!$C$12*'الافتراضات'!$C$46*CJ$6)</f>
        <v/>
      </c>
      <c r="CK22" s="65">
        <f>IF(CK$3=0,0,'OPEX'!$C$12*'الافتراضات'!$C$46*CK$6)</f>
        <v/>
      </c>
      <c r="CL22" s="65">
        <f>IF(CL$3=0,0,'OPEX'!$C$12*'الافتراضات'!$C$46*CL$6)</f>
        <v/>
      </c>
      <c r="CM22" s="65">
        <f>IF(CM$3=0,0,'OPEX'!$C$12*'الافتراضات'!$C$46*CM$6)</f>
        <v/>
      </c>
      <c r="CN22" s="65">
        <f>IF(CN$3=0,0,'OPEX'!$C$12*'الافتراضات'!$C$46*CN$6)</f>
        <v/>
      </c>
      <c r="CO22" s="65">
        <f>IF(CO$3=0,0,'OPEX'!$C$12*'الافتراضات'!$C$46*CO$6)</f>
        <v/>
      </c>
      <c r="CP22" s="65">
        <f>IF(CP$3=0,0,'OPEX'!$C$12*'الافتراضات'!$C$46*CP$6)</f>
        <v/>
      </c>
      <c r="CQ22" s="65">
        <f>IF(CQ$3=0,0,'OPEX'!$C$12*'الافتراضات'!$C$46*CQ$6)</f>
        <v/>
      </c>
      <c r="CR22" s="65">
        <f>IF(CR$3=0,0,'OPEX'!$C$12*'الافتراضات'!$C$46*CR$6)</f>
        <v/>
      </c>
      <c r="CS22" s="65">
        <f>IF(CS$3=0,0,'OPEX'!$C$12*'الافتراضات'!$C$46*CS$6)</f>
        <v/>
      </c>
      <c r="CT22" s="65">
        <f>IF(CT$3=0,0,'OPEX'!$C$12*'الافتراضات'!$C$46*CT$6)</f>
        <v/>
      </c>
      <c r="CU22" s="65">
        <f>IF(CU$3=0,0,'OPEX'!$C$12*'الافتراضات'!$C$46*CU$6)</f>
        <v/>
      </c>
      <c r="CV22" s="65">
        <f>IF(CV$3=0,0,'OPEX'!$C$12*'الافتراضات'!$C$46*CV$6)</f>
        <v/>
      </c>
      <c r="CW22" s="65">
        <f>IF(CW$3=0,0,'OPEX'!$C$12*'الافتراضات'!$C$46*CW$6)</f>
        <v/>
      </c>
      <c r="CX22" s="65">
        <f>IF(CX$3=0,0,'OPEX'!$C$12*'الافتراضات'!$C$46*CX$6)</f>
        <v/>
      </c>
      <c r="CY22" s="65">
        <f>IF(CY$3=0,0,'OPEX'!$C$12*'الافتراضات'!$C$46*CY$6)</f>
        <v/>
      </c>
      <c r="CZ22" s="65">
        <f>IF(CZ$3=0,0,'OPEX'!$C$12*'الافتراضات'!$C$46*CZ$6)</f>
        <v/>
      </c>
      <c r="DA22" s="65">
        <f>IF(DA$3=0,0,'OPEX'!$C$12*'الافتراضات'!$C$46*DA$6)</f>
        <v/>
      </c>
      <c r="DB22" s="65">
        <f>IF(DB$3=0,0,'OPEX'!$C$12*'الافتراضات'!$C$46*DB$6)</f>
        <v/>
      </c>
      <c r="DC22" s="65">
        <f>IF(DC$3=0,0,'OPEX'!$C$12*'الافتراضات'!$C$46*DC$6)</f>
        <v/>
      </c>
      <c r="DD22" s="65">
        <f>IF(DD$3=0,0,'OPEX'!$C$12*'الافتراضات'!$C$46*DD$6)</f>
        <v/>
      </c>
      <c r="DE22" s="65">
        <f>IF(DE$3=0,0,'OPEX'!$C$12*'الافتراضات'!$C$46*DE$6)</f>
        <v/>
      </c>
      <c r="DF22" s="65">
        <f>IF(DF$3=0,0,'OPEX'!$C$12*'الافتراضات'!$C$46*DF$6)</f>
        <v/>
      </c>
      <c r="DG22" s="65">
        <f>IF(DG$3=0,0,'OPEX'!$C$12*'الافتراضات'!$C$46*DG$6)</f>
        <v/>
      </c>
      <c r="DH22" s="65">
        <f>IF(DH$3=0,0,'OPEX'!$C$12*'الافتراضات'!$C$46*DH$6)</f>
        <v/>
      </c>
      <c r="DI22" s="65">
        <f>IF(DI$3=0,0,'OPEX'!$C$12*'الافتراضات'!$C$46*DI$6)</f>
        <v/>
      </c>
      <c r="DJ22" s="65">
        <f>IF(DJ$3=0,0,'OPEX'!$C$12*'الافتراضات'!$C$46*DJ$6)</f>
        <v/>
      </c>
      <c r="DK22" s="65">
        <f>IF(DK$3=0,0,'OPEX'!$C$12*'الافتراضات'!$C$46*DK$6)</f>
        <v/>
      </c>
      <c r="DL22" s="65">
        <f>IF(DL$3=0,0,'OPEX'!$C$12*'الافتراضات'!$C$46*DL$6)</f>
        <v/>
      </c>
      <c r="DM22" s="65">
        <f>IF(DM$3=0,0,'OPEX'!$C$12*'الافتراضات'!$C$46*DM$6)</f>
        <v/>
      </c>
      <c r="DN22" s="65">
        <f>IF(DN$3=0,0,'OPEX'!$C$12*'الافتراضات'!$C$46*DN$6)</f>
        <v/>
      </c>
      <c r="DO22" s="65">
        <f>IF(DO$3=0,0,'OPEX'!$C$12*'الافتراضات'!$C$46*DO$6)</f>
        <v/>
      </c>
      <c r="DP22" s="65">
        <f>IF(DP$3=0,0,'OPEX'!$C$12*'الافتراضات'!$C$46*DP$6)</f>
        <v/>
      </c>
      <c r="DQ22" s="65">
        <f>IF(DQ$3=0,0,'OPEX'!$C$12*'الافتراضات'!$C$46*DQ$6)</f>
        <v/>
      </c>
      <c r="DR22" s="65">
        <f>IF(DR$3=0,0,'OPEX'!$C$12*'الافتراضات'!$C$46*DR$6)</f>
        <v/>
      </c>
      <c r="DS22" s="65">
        <f>IF(DS$3=0,0,'OPEX'!$C$12*'الافتراضات'!$C$46*DS$6)</f>
        <v/>
      </c>
    </row>
    <row r="23">
      <c r="B23" s="22" t="inlineStr">
        <is>
          <t>عمولة تسويق وتوزيع الأرز</t>
        </is>
      </c>
      <c r="C23" s="65">
        <f>IF(C$3=0,0,C14*'الافتراضات'!$C$47)</f>
        <v/>
      </c>
      <c r="D23" s="65">
        <f>IF(D$3=0,0,D14*'الافتراضات'!$C$47)</f>
        <v/>
      </c>
      <c r="E23" s="65">
        <f>IF(E$3=0,0,E14*'الافتراضات'!$C$47)</f>
        <v/>
      </c>
      <c r="F23" s="65">
        <f>IF(F$3=0,0,F14*'الافتراضات'!$C$47)</f>
        <v/>
      </c>
      <c r="G23" s="65">
        <f>IF(G$3=0,0,G14*'الافتراضات'!$C$47)</f>
        <v/>
      </c>
      <c r="H23" s="65">
        <f>IF(H$3=0,0,H14*'الافتراضات'!$C$47)</f>
        <v/>
      </c>
      <c r="I23" s="65">
        <f>IF(I$3=0,0,I14*'الافتراضات'!$C$47)</f>
        <v/>
      </c>
      <c r="J23" s="65">
        <f>IF(J$3=0,0,J14*'الافتراضات'!$C$47)</f>
        <v/>
      </c>
      <c r="K23" s="65">
        <f>IF(K$3=0,0,K14*'الافتراضات'!$C$47)</f>
        <v/>
      </c>
      <c r="L23" s="65">
        <f>IF(L$3=0,0,L14*'الافتراضات'!$C$47)</f>
        <v/>
      </c>
      <c r="M23" s="65">
        <f>IF(M$3=0,0,M14*'الافتراضات'!$C$47)</f>
        <v/>
      </c>
      <c r="N23" s="65">
        <f>IF(N$3=0,0,N14*'الافتراضات'!$C$47)</f>
        <v/>
      </c>
      <c r="O23" s="65">
        <f>IF(O$3=0,0,O14*'الافتراضات'!$C$47)</f>
        <v/>
      </c>
      <c r="P23" s="65">
        <f>IF(P$3=0,0,P14*'الافتراضات'!$C$47)</f>
        <v/>
      </c>
      <c r="Q23" s="65">
        <f>IF(Q$3=0,0,Q14*'الافتراضات'!$C$47)</f>
        <v/>
      </c>
      <c r="R23" s="65">
        <f>IF(R$3=0,0,R14*'الافتراضات'!$C$47)</f>
        <v/>
      </c>
      <c r="S23" s="65">
        <f>IF(S$3=0,0,S14*'الافتراضات'!$C$47)</f>
        <v/>
      </c>
      <c r="T23" s="65">
        <f>IF(T$3=0,0,T14*'الافتراضات'!$C$47)</f>
        <v/>
      </c>
      <c r="U23" s="65">
        <f>IF(U$3=0,0,U14*'الافتراضات'!$C$47)</f>
        <v/>
      </c>
      <c r="V23" s="65">
        <f>IF(V$3=0,0,V14*'الافتراضات'!$C$47)</f>
        <v/>
      </c>
      <c r="W23" s="65">
        <f>IF(W$3=0,0,W14*'الافتراضات'!$C$47)</f>
        <v/>
      </c>
      <c r="X23" s="65">
        <f>IF(X$3=0,0,X14*'الافتراضات'!$C$47)</f>
        <v/>
      </c>
      <c r="Y23" s="65">
        <f>IF(Y$3=0,0,Y14*'الافتراضات'!$C$47)</f>
        <v/>
      </c>
      <c r="Z23" s="65">
        <f>IF(Z$3=0,0,Z14*'الافتراضات'!$C$47)</f>
        <v/>
      </c>
      <c r="AA23" s="65">
        <f>IF(AA$3=0,0,AA14*'الافتراضات'!$C$47)</f>
        <v/>
      </c>
      <c r="AB23" s="65">
        <f>IF(AB$3=0,0,AB14*'الافتراضات'!$C$47)</f>
        <v/>
      </c>
      <c r="AC23" s="65">
        <f>IF(AC$3=0,0,AC14*'الافتراضات'!$C$47)</f>
        <v/>
      </c>
      <c r="AD23" s="65">
        <f>IF(AD$3=0,0,AD14*'الافتراضات'!$C$47)</f>
        <v/>
      </c>
      <c r="AE23" s="65">
        <f>IF(AE$3=0,0,AE14*'الافتراضات'!$C$47)</f>
        <v/>
      </c>
      <c r="AF23" s="65">
        <f>IF(AF$3=0,0,AF14*'الافتراضات'!$C$47)</f>
        <v/>
      </c>
      <c r="AG23" s="65">
        <f>IF(AG$3=0,0,AG14*'الافتراضات'!$C$47)</f>
        <v/>
      </c>
      <c r="AH23" s="65">
        <f>IF(AH$3=0,0,AH14*'الافتراضات'!$C$47)</f>
        <v/>
      </c>
      <c r="AI23" s="65">
        <f>IF(AI$3=0,0,AI14*'الافتراضات'!$C$47)</f>
        <v/>
      </c>
      <c r="AJ23" s="65">
        <f>IF(AJ$3=0,0,AJ14*'الافتراضات'!$C$47)</f>
        <v/>
      </c>
      <c r="AK23" s="65">
        <f>IF(AK$3=0,0,AK14*'الافتراضات'!$C$47)</f>
        <v/>
      </c>
      <c r="AL23" s="65">
        <f>IF(AL$3=0,0,AL14*'الافتراضات'!$C$47)</f>
        <v/>
      </c>
      <c r="AM23" s="65">
        <f>IF(AM$3=0,0,AM14*'الافتراضات'!$C$47)</f>
        <v/>
      </c>
      <c r="AN23" s="65">
        <f>IF(AN$3=0,0,AN14*'الافتراضات'!$C$47)</f>
        <v/>
      </c>
      <c r="AO23" s="65">
        <f>IF(AO$3=0,0,AO14*'الافتراضات'!$C$47)</f>
        <v/>
      </c>
      <c r="AP23" s="65">
        <f>IF(AP$3=0,0,AP14*'الافتراضات'!$C$47)</f>
        <v/>
      </c>
      <c r="AQ23" s="65">
        <f>IF(AQ$3=0,0,AQ14*'الافتراضات'!$C$47)</f>
        <v/>
      </c>
      <c r="AR23" s="65">
        <f>IF(AR$3=0,0,AR14*'الافتراضات'!$C$47)</f>
        <v/>
      </c>
      <c r="AS23" s="65">
        <f>IF(AS$3=0,0,AS14*'الافتراضات'!$C$47)</f>
        <v/>
      </c>
      <c r="AT23" s="65">
        <f>IF(AT$3=0,0,AT14*'الافتراضات'!$C$47)</f>
        <v/>
      </c>
      <c r="AU23" s="65">
        <f>IF(AU$3=0,0,AU14*'الافتراضات'!$C$47)</f>
        <v/>
      </c>
      <c r="AV23" s="65">
        <f>IF(AV$3=0,0,AV14*'الافتراضات'!$C$47)</f>
        <v/>
      </c>
      <c r="AW23" s="65">
        <f>IF(AW$3=0,0,AW14*'الافتراضات'!$C$47)</f>
        <v/>
      </c>
      <c r="AX23" s="65">
        <f>IF(AX$3=0,0,AX14*'الافتراضات'!$C$47)</f>
        <v/>
      </c>
      <c r="AY23" s="65">
        <f>IF(AY$3=0,0,AY14*'الافتراضات'!$C$47)</f>
        <v/>
      </c>
      <c r="AZ23" s="65">
        <f>IF(AZ$3=0,0,AZ14*'الافتراضات'!$C$47)</f>
        <v/>
      </c>
      <c r="BA23" s="65">
        <f>IF(BA$3=0,0,BA14*'الافتراضات'!$C$47)</f>
        <v/>
      </c>
      <c r="BB23" s="65">
        <f>IF(BB$3=0,0,BB14*'الافتراضات'!$C$47)</f>
        <v/>
      </c>
      <c r="BC23" s="65">
        <f>IF(BC$3=0,0,BC14*'الافتراضات'!$C$47)</f>
        <v/>
      </c>
      <c r="BD23" s="65">
        <f>IF(BD$3=0,0,BD14*'الافتراضات'!$C$47)</f>
        <v/>
      </c>
      <c r="BE23" s="65">
        <f>IF(BE$3=0,0,BE14*'الافتراضات'!$C$47)</f>
        <v/>
      </c>
      <c r="BF23" s="65">
        <f>IF(BF$3=0,0,BF14*'الافتراضات'!$C$47)</f>
        <v/>
      </c>
      <c r="BG23" s="65">
        <f>IF(BG$3=0,0,BG14*'الافتراضات'!$C$47)</f>
        <v/>
      </c>
      <c r="BH23" s="65">
        <f>IF(BH$3=0,0,BH14*'الافتراضات'!$C$47)</f>
        <v/>
      </c>
      <c r="BI23" s="65">
        <f>IF(BI$3=0,0,BI14*'الافتراضات'!$C$47)</f>
        <v/>
      </c>
      <c r="BJ23" s="65">
        <f>IF(BJ$3=0,0,BJ14*'الافتراضات'!$C$47)</f>
        <v/>
      </c>
      <c r="BK23" s="65">
        <f>IF(BK$3=0,0,BK14*'الافتراضات'!$C$47)</f>
        <v/>
      </c>
      <c r="BL23" s="65">
        <f>IF(BL$3=0,0,BL14*'الافتراضات'!$C$47)</f>
        <v/>
      </c>
      <c r="BM23" s="65">
        <f>IF(BM$3=0,0,BM14*'الافتراضات'!$C$47)</f>
        <v/>
      </c>
      <c r="BN23" s="65">
        <f>IF(BN$3=0,0,BN14*'الافتراضات'!$C$47)</f>
        <v/>
      </c>
      <c r="BO23" s="65">
        <f>IF(BO$3=0,0,BO14*'الافتراضات'!$C$47)</f>
        <v/>
      </c>
      <c r="BP23" s="65">
        <f>IF(BP$3=0,0,BP14*'الافتراضات'!$C$47)</f>
        <v/>
      </c>
      <c r="BQ23" s="65">
        <f>IF(BQ$3=0,0,BQ14*'الافتراضات'!$C$47)</f>
        <v/>
      </c>
      <c r="BR23" s="65">
        <f>IF(BR$3=0,0,BR14*'الافتراضات'!$C$47)</f>
        <v/>
      </c>
      <c r="BS23" s="65">
        <f>IF(BS$3=0,0,BS14*'الافتراضات'!$C$47)</f>
        <v/>
      </c>
      <c r="BT23" s="65">
        <f>IF(BT$3=0,0,BT14*'الافتراضات'!$C$47)</f>
        <v/>
      </c>
      <c r="BU23" s="65">
        <f>IF(BU$3=0,0,BU14*'الافتراضات'!$C$47)</f>
        <v/>
      </c>
      <c r="BV23" s="65">
        <f>IF(BV$3=0,0,BV14*'الافتراضات'!$C$47)</f>
        <v/>
      </c>
      <c r="BW23" s="65">
        <f>IF(BW$3=0,0,BW14*'الافتراضات'!$C$47)</f>
        <v/>
      </c>
      <c r="BX23" s="65">
        <f>IF(BX$3=0,0,BX14*'الافتراضات'!$C$47)</f>
        <v/>
      </c>
      <c r="BY23" s="65">
        <f>IF(BY$3=0,0,BY14*'الافتراضات'!$C$47)</f>
        <v/>
      </c>
      <c r="BZ23" s="65">
        <f>IF(BZ$3=0,0,BZ14*'الافتراضات'!$C$47)</f>
        <v/>
      </c>
      <c r="CA23" s="65">
        <f>IF(CA$3=0,0,CA14*'الافتراضات'!$C$47)</f>
        <v/>
      </c>
      <c r="CB23" s="65">
        <f>IF(CB$3=0,0,CB14*'الافتراضات'!$C$47)</f>
        <v/>
      </c>
      <c r="CC23" s="65">
        <f>IF(CC$3=0,0,CC14*'الافتراضات'!$C$47)</f>
        <v/>
      </c>
      <c r="CD23" s="65">
        <f>IF(CD$3=0,0,CD14*'الافتراضات'!$C$47)</f>
        <v/>
      </c>
      <c r="CE23" s="65">
        <f>IF(CE$3=0,0,CE14*'الافتراضات'!$C$47)</f>
        <v/>
      </c>
      <c r="CF23" s="65">
        <f>IF(CF$3=0,0,CF14*'الافتراضات'!$C$47)</f>
        <v/>
      </c>
      <c r="CG23" s="65">
        <f>IF(CG$3=0,0,CG14*'الافتراضات'!$C$47)</f>
        <v/>
      </c>
      <c r="CH23" s="65">
        <f>IF(CH$3=0,0,CH14*'الافتراضات'!$C$47)</f>
        <v/>
      </c>
      <c r="CI23" s="65">
        <f>IF(CI$3=0,0,CI14*'الافتراضات'!$C$47)</f>
        <v/>
      </c>
      <c r="CJ23" s="65">
        <f>IF(CJ$3=0,0,CJ14*'الافتراضات'!$C$47)</f>
        <v/>
      </c>
      <c r="CK23" s="65">
        <f>IF(CK$3=0,0,CK14*'الافتراضات'!$C$47)</f>
        <v/>
      </c>
      <c r="CL23" s="65">
        <f>IF(CL$3=0,0,CL14*'الافتراضات'!$C$47)</f>
        <v/>
      </c>
      <c r="CM23" s="65">
        <f>IF(CM$3=0,0,CM14*'الافتراضات'!$C$47)</f>
        <v/>
      </c>
      <c r="CN23" s="65">
        <f>IF(CN$3=0,0,CN14*'الافتراضات'!$C$47)</f>
        <v/>
      </c>
      <c r="CO23" s="65">
        <f>IF(CO$3=0,0,CO14*'الافتراضات'!$C$47)</f>
        <v/>
      </c>
      <c r="CP23" s="65">
        <f>IF(CP$3=0,0,CP14*'الافتراضات'!$C$47)</f>
        <v/>
      </c>
      <c r="CQ23" s="65">
        <f>IF(CQ$3=0,0,CQ14*'الافتراضات'!$C$47)</f>
        <v/>
      </c>
      <c r="CR23" s="65">
        <f>IF(CR$3=0,0,CR14*'الافتراضات'!$C$47)</f>
        <v/>
      </c>
      <c r="CS23" s="65">
        <f>IF(CS$3=0,0,CS14*'الافتراضات'!$C$47)</f>
        <v/>
      </c>
      <c r="CT23" s="65">
        <f>IF(CT$3=0,0,CT14*'الافتراضات'!$C$47)</f>
        <v/>
      </c>
      <c r="CU23" s="65">
        <f>IF(CU$3=0,0,CU14*'الافتراضات'!$C$47)</f>
        <v/>
      </c>
      <c r="CV23" s="65">
        <f>IF(CV$3=0,0,CV14*'الافتراضات'!$C$47)</f>
        <v/>
      </c>
      <c r="CW23" s="65">
        <f>IF(CW$3=0,0,CW14*'الافتراضات'!$C$47)</f>
        <v/>
      </c>
      <c r="CX23" s="65">
        <f>IF(CX$3=0,0,CX14*'الافتراضات'!$C$47)</f>
        <v/>
      </c>
      <c r="CY23" s="65">
        <f>IF(CY$3=0,0,CY14*'الافتراضات'!$C$47)</f>
        <v/>
      </c>
      <c r="CZ23" s="65">
        <f>IF(CZ$3=0,0,CZ14*'الافتراضات'!$C$47)</f>
        <v/>
      </c>
      <c r="DA23" s="65">
        <f>IF(DA$3=0,0,DA14*'الافتراضات'!$C$47)</f>
        <v/>
      </c>
      <c r="DB23" s="65">
        <f>IF(DB$3=0,0,DB14*'الافتراضات'!$C$47)</f>
        <v/>
      </c>
      <c r="DC23" s="65">
        <f>IF(DC$3=0,0,DC14*'الافتراضات'!$C$47)</f>
        <v/>
      </c>
      <c r="DD23" s="65">
        <f>IF(DD$3=0,0,DD14*'الافتراضات'!$C$47)</f>
        <v/>
      </c>
      <c r="DE23" s="65">
        <f>IF(DE$3=0,0,DE14*'الافتراضات'!$C$47)</f>
        <v/>
      </c>
      <c r="DF23" s="65">
        <f>IF(DF$3=0,0,DF14*'الافتراضات'!$C$47)</f>
        <v/>
      </c>
      <c r="DG23" s="65">
        <f>IF(DG$3=0,0,DG14*'الافتراضات'!$C$47)</f>
        <v/>
      </c>
      <c r="DH23" s="65">
        <f>IF(DH$3=0,0,DH14*'الافتراضات'!$C$47)</f>
        <v/>
      </c>
      <c r="DI23" s="65">
        <f>IF(DI$3=0,0,DI14*'الافتراضات'!$C$47)</f>
        <v/>
      </c>
      <c r="DJ23" s="65">
        <f>IF(DJ$3=0,0,DJ14*'الافتراضات'!$C$47)</f>
        <v/>
      </c>
      <c r="DK23" s="65">
        <f>IF(DK$3=0,0,DK14*'الافتراضات'!$C$47)</f>
        <v/>
      </c>
      <c r="DL23" s="65">
        <f>IF(DL$3=0,0,DL14*'الافتراضات'!$C$47)</f>
        <v/>
      </c>
      <c r="DM23" s="65">
        <f>IF(DM$3=0,0,DM14*'الافتراضات'!$C$47)</f>
        <v/>
      </c>
      <c r="DN23" s="65">
        <f>IF(DN$3=0,0,DN14*'الافتراضات'!$C$47)</f>
        <v/>
      </c>
      <c r="DO23" s="65">
        <f>IF(DO$3=0,0,DO14*'الافتراضات'!$C$47)</f>
        <v/>
      </c>
      <c r="DP23" s="65">
        <f>IF(DP$3=0,0,DP14*'الافتراضات'!$C$47)</f>
        <v/>
      </c>
      <c r="DQ23" s="65">
        <f>IF(DQ$3=0,0,DQ14*'الافتراضات'!$C$47)</f>
        <v/>
      </c>
      <c r="DR23" s="65">
        <f>IF(DR$3=0,0,DR14*'الافتراضات'!$C$47)</f>
        <v/>
      </c>
      <c r="DS23" s="65">
        <f>IF(DS$3=0,0,DS14*'الافتراضات'!$C$47)</f>
        <v/>
      </c>
    </row>
    <row r="24">
      <c r="B24" s="34" t="inlineStr">
        <is>
          <t>إجمالي التكاليف المتغيرة</t>
        </is>
      </c>
      <c r="C24" s="65">
        <f>SUM(C18:C23)</f>
        <v/>
      </c>
      <c r="D24" s="65">
        <f>SUM(D18:D23)</f>
        <v/>
      </c>
      <c r="E24" s="65">
        <f>SUM(E18:E23)</f>
        <v/>
      </c>
      <c r="F24" s="65">
        <f>SUM(F18:F23)</f>
        <v/>
      </c>
      <c r="G24" s="65">
        <f>SUM(G18:G23)</f>
        <v/>
      </c>
      <c r="H24" s="65">
        <f>SUM(H18:H23)</f>
        <v/>
      </c>
      <c r="I24" s="65">
        <f>SUM(I18:I23)</f>
        <v/>
      </c>
      <c r="J24" s="65">
        <f>SUM(J18:J23)</f>
        <v/>
      </c>
      <c r="K24" s="65">
        <f>SUM(K18:K23)</f>
        <v/>
      </c>
      <c r="L24" s="65">
        <f>SUM(L18:L23)</f>
        <v/>
      </c>
      <c r="M24" s="65">
        <f>SUM(M18:M23)</f>
        <v/>
      </c>
      <c r="N24" s="65">
        <f>SUM(N18:N23)</f>
        <v/>
      </c>
      <c r="O24" s="65">
        <f>SUM(O18:O23)</f>
        <v/>
      </c>
      <c r="P24" s="65">
        <f>SUM(P18:P23)</f>
        <v/>
      </c>
      <c r="Q24" s="65">
        <f>SUM(Q18:Q23)</f>
        <v/>
      </c>
      <c r="R24" s="65">
        <f>SUM(R18:R23)</f>
        <v/>
      </c>
      <c r="S24" s="65">
        <f>SUM(S18:S23)</f>
        <v/>
      </c>
      <c r="T24" s="65">
        <f>SUM(T18:T23)</f>
        <v/>
      </c>
      <c r="U24" s="65">
        <f>SUM(U18:U23)</f>
        <v/>
      </c>
      <c r="V24" s="65">
        <f>SUM(V18:V23)</f>
        <v/>
      </c>
      <c r="W24" s="65">
        <f>SUM(W18:W23)</f>
        <v/>
      </c>
      <c r="X24" s="65">
        <f>SUM(X18:X23)</f>
        <v/>
      </c>
      <c r="Y24" s="65">
        <f>SUM(Y18:Y23)</f>
        <v/>
      </c>
      <c r="Z24" s="65">
        <f>SUM(Z18:Z23)</f>
        <v/>
      </c>
      <c r="AA24" s="65">
        <f>SUM(AA18:AA23)</f>
        <v/>
      </c>
      <c r="AB24" s="65">
        <f>SUM(AB18:AB23)</f>
        <v/>
      </c>
      <c r="AC24" s="65">
        <f>SUM(AC18:AC23)</f>
        <v/>
      </c>
      <c r="AD24" s="65">
        <f>SUM(AD18:AD23)</f>
        <v/>
      </c>
      <c r="AE24" s="65">
        <f>SUM(AE18:AE23)</f>
        <v/>
      </c>
      <c r="AF24" s="65">
        <f>SUM(AF18:AF23)</f>
        <v/>
      </c>
      <c r="AG24" s="65">
        <f>SUM(AG18:AG23)</f>
        <v/>
      </c>
      <c r="AH24" s="65">
        <f>SUM(AH18:AH23)</f>
        <v/>
      </c>
      <c r="AI24" s="65">
        <f>SUM(AI18:AI23)</f>
        <v/>
      </c>
      <c r="AJ24" s="65">
        <f>SUM(AJ18:AJ23)</f>
        <v/>
      </c>
      <c r="AK24" s="65">
        <f>SUM(AK18:AK23)</f>
        <v/>
      </c>
      <c r="AL24" s="65">
        <f>SUM(AL18:AL23)</f>
        <v/>
      </c>
      <c r="AM24" s="65">
        <f>SUM(AM18:AM23)</f>
        <v/>
      </c>
      <c r="AN24" s="65">
        <f>SUM(AN18:AN23)</f>
        <v/>
      </c>
      <c r="AO24" s="65">
        <f>SUM(AO18:AO23)</f>
        <v/>
      </c>
      <c r="AP24" s="65">
        <f>SUM(AP18:AP23)</f>
        <v/>
      </c>
      <c r="AQ24" s="65">
        <f>SUM(AQ18:AQ23)</f>
        <v/>
      </c>
      <c r="AR24" s="65">
        <f>SUM(AR18:AR23)</f>
        <v/>
      </c>
      <c r="AS24" s="65">
        <f>SUM(AS18:AS23)</f>
        <v/>
      </c>
      <c r="AT24" s="65">
        <f>SUM(AT18:AT23)</f>
        <v/>
      </c>
      <c r="AU24" s="65">
        <f>SUM(AU18:AU23)</f>
        <v/>
      </c>
      <c r="AV24" s="65">
        <f>SUM(AV18:AV23)</f>
        <v/>
      </c>
      <c r="AW24" s="65">
        <f>SUM(AW18:AW23)</f>
        <v/>
      </c>
      <c r="AX24" s="65">
        <f>SUM(AX18:AX23)</f>
        <v/>
      </c>
      <c r="AY24" s="65">
        <f>SUM(AY18:AY23)</f>
        <v/>
      </c>
      <c r="AZ24" s="65">
        <f>SUM(AZ18:AZ23)</f>
        <v/>
      </c>
      <c r="BA24" s="65">
        <f>SUM(BA18:BA23)</f>
        <v/>
      </c>
      <c r="BB24" s="65">
        <f>SUM(BB18:BB23)</f>
        <v/>
      </c>
      <c r="BC24" s="65">
        <f>SUM(BC18:BC23)</f>
        <v/>
      </c>
      <c r="BD24" s="65">
        <f>SUM(BD18:BD23)</f>
        <v/>
      </c>
      <c r="BE24" s="65">
        <f>SUM(BE18:BE23)</f>
        <v/>
      </c>
      <c r="BF24" s="65">
        <f>SUM(BF18:BF23)</f>
        <v/>
      </c>
      <c r="BG24" s="65">
        <f>SUM(BG18:BG23)</f>
        <v/>
      </c>
      <c r="BH24" s="65">
        <f>SUM(BH18:BH23)</f>
        <v/>
      </c>
      <c r="BI24" s="65">
        <f>SUM(BI18:BI23)</f>
        <v/>
      </c>
      <c r="BJ24" s="65">
        <f>SUM(BJ18:BJ23)</f>
        <v/>
      </c>
      <c r="BK24" s="65">
        <f>SUM(BK18:BK23)</f>
        <v/>
      </c>
      <c r="BL24" s="65">
        <f>SUM(BL18:BL23)</f>
        <v/>
      </c>
      <c r="BM24" s="65">
        <f>SUM(BM18:BM23)</f>
        <v/>
      </c>
      <c r="BN24" s="65">
        <f>SUM(BN18:BN23)</f>
        <v/>
      </c>
      <c r="BO24" s="65">
        <f>SUM(BO18:BO23)</f>
        <v/>
      </c>
      <c r="BP24" s="65">
        <f>SUM(BP18:BP23)</f>
        <v/>
      </c>
      <c r="BQ24" s="65">
        <f>SUM(BQ18:BQ23)</f>
        <v/>
      </c>
      <c r="BR24" s="65">
        <f>SUM(BR18:BR23)</f>
        <v/>
      </c>
      <c r="BS24" s="65">
        <f>SUM(BS18:BS23)</f>
        <v/>
      </c>
      <c r="BT24" s="65">
        <f>SUM(BT18:BT23)</f>
        <v/>
      </c>
      <c r="BU24" s="65">
        <f>SUM(BU18:BU23)</f>
        <v/>
      </c>
      <c r="BV24" s="65">
        <f>SUM(BV18:BV23)</f>
        <v/>
      </c>
      <c r="BW24" s="65">
        <f>SUM(BW18:BW23)</f>
        <v/>
      </c>
      <c r="BX24" s="65">
        <f>SUM(BX18:BX23)</f>
        <v/>
      </c>
      <c r="BY24" s="65">
        <f>SUM(BY18:BY23)</f>
        <v/>
      </c>
      <c r="BZ24" s="65">
        <f>SUM(BZ18:BZ23)</f>
        <v/>
      </c>
      <c r="CA24" s="65">
        <f>SUM(CA18:CA23)</f>
        <v/>
      </c>
      <c r="CB24" s="65">
        <f>SUM(CB18:CB23)</f>
        <v/>
      </c>
      <c r="CC24" s="65">
        <f>SUM(CC18:CC23)</f>
        <v/>
      </c>
      <c r="CD24" s="65">
        <f>SUM(CD18:CD23)</f>
        <v/>
      </c>
      <c r="CE24" s="65">
        <f>SUM(CE18:CE23)</f>
        <v/>
      </c>
      <c r="CF24" s="65">
        <f>SUM(CF18:CF23)</f>
        <v/>
      </c>
      <c r="CG24" s="65">
        <f>SUM(CG18:CG23)</f>
        <v/>
      </c>
      <c r="CH24" s="65">
        <f>SUM(CH18:CH23)</f>
        <v/>
      </c>
      <c r="CI24" s="65">
        <f>SUM(CI18:CI23)</f>
        <v/>
      </c>
      <c r="CJ24" s="65">
        <f>SUM(CJ18:CJ23)</f>
        <v/>
      </c>
      <c r="CK24" s="65">
        <f>SUM(CK18:CK23)</f>
        <v/>
      </c>
      <c r="CL24" s="65">
        <f>SUM(CL18:CL23)</f>
        <v/>
      </c>
      <c r="CM24" s="65">
        <f>SUM(CM18:CM23)</f>
        <v/>
      </c>
      <c r="CN24" s="65">
        <f>SUM(CN18:CN23)</f>
        <v/>
      </c>
      <c r="CO24" s="65">
        <f>SUM(CO18:CO23)</f>
        <v/>
      </c>
      <c r="CP24" s="65">
        <f>SUM(CP18:CP23)</f>
        <v/>
      </c>
      <c r="CQ24" s="65">
        <f>SUM(CQ18:CQ23)</f>
        <v/>
      </c>
      <c r="CR24" s="65">
        <f>SUM(CR18:CR23)</f>
        <v/>
      </c>
      <c r="CS24" s="65">
        <f>SUM(CS18:CS23)</f>
        <v/>
      </c>
      <c r="CT24" s="65">
        <f>SUM(CT18:CT23)</f>
        <v/>
      </c>
      <c r="CU24" s="65">
        <f>SUM(CU18:CU23)</f>
        <v/>
      </c>
      <c r="CV24" s="65">
        <f>SUM(CV18:CV23)</f>
        <v/>
      </c>
      <c r="CW24" s="65">
        <f>SUM(CW18:CW23)</f>
        <v/>
      </c>
      <c r="CX24" s="65">
        <f>SUM(CX18:CX23)</f>
        <v/>
      </c>
      <c r="CY24" s="65">
        <f>SUM(CY18:CY23)</f>
        <v/>
      </c>
      <c r="CZ24" s="65">
        <f>SUM(CZ18:CZ23)</f>
        <v/>
      </c>
      <c r="DA24" s="65">
        <f>SUM(DA18:DA23)</f>
        <v/>
      </c>
      <c r="DB24" s="65">
        <f>SUM(DB18:DB23)</f>
        <v/>
      </c>
      <c r="DC24" s="65">
        <f>SUM(DC18:DC23)</f>
        <v/>
      </c>
      <c r="DD24" s="65">
        <f>SUM(DD18:DD23)</f>
        <v/>
      </c>
      <c r="DE24" s="65">
        <f>SUM(DE18:DE23)</f>
        <v/>
      </c>
      <c r="DF24" s="65">
        <f>SUM(DF18:DF23)</f>
        <v/>
      </c>
      <c r="DG24" s="65">
        <f>SUM(DG18:DG23)</f>
        <v/>
      </c>
      <c r="DH24" s="65">
        <f>SUM(DH18:DH23)</f>
        <v/>
      </c>
      <c r="DI24" s="65">
        <f>SUM(DI18:DI23)</f>
        <v/>
      </c>
      <c r="DJ24" s="65">
        <f>SUM(DJ18:DJ23)</f>
        <v/>
      </c>
      <c r="DK24" s="65">
        <f>SUM(DK18:DK23)</f>
        <v/>
      </c>
      <c r="DL24" s="65">
        <f>SUM(DL18:DL23)</f>
        <v/>
      </c>
      <c r="DM24" s="65">
        <f>SUM(DM18:DM23)</f>
        <v/>
      </c>
      <c r="DN24" s="65">
        <f>SUM(DN18:DN23)</f>
        <v/>
      </c>
      <c r="DO24" s="65">
        <f>SUM(DO18:DO23)</f>
        <v/>
      </c>
      <c r="DP24" s="65">
        <f>SUM(DP18:DP23)</f>
        <v/>
      </c>
      <c r="DQ24" s="65">
        <f>SUM(DQ18:DQ23)</f>
        <v/>
      </c>
      <c r="DR24" s="65">
        <f>SUM(DR18:DR23)</f>
        <v/>
      </c>
      <c r="DS24" s="65">
        <f>SUM(DS18:DS23)</f>
        <v/>
      </c>
    </row>
    <row r="25">
      <c r="B25" s="22" t="inlineStr">
        <is>
          <t>هامش المساهمة</t>
        </is>
      </c>
      <c r="C25" s="65">
        <f>C17-C24</f>
        <v/>
      </c>
      <c r="D25" s="65">
        <f>D17-D24</f>
        <v/>
      </c>
      <c r="E25" s="65">
        <f>E17-E24</f>
        <v/>
      </c>
      <c r="F25" s="65">
        <f>F17-F24</f>
        <v/>
      </c>
      <c r="G25" s="65">
        <f>G17-G24</f>
        <v/>
      </c>
      <c r="H25" s="65">
        <f>H17-H24</f>
        <v/>
      </c>
      <c r="I25" s="65">
        <f>I17-I24</f>
        <v/>
      </c>
      <c r="J25" s="65">
        <f>J17-J24</f>
        <v/>
      </c>
      <c r="K25" s="65">
        <f>K17-K24</f>
        <v/>
      </c>
      <c r="L25" s="65">
        <f>L17-L24</f>
        <v/>
      </c>
      <c r="M25" s="65">
        <f>M17-M24</f>
        <v/>
      </c>
      <c r="N25" s="65">
        <f>N17-N24</f>
        <v/>
      </c>
      <c r="O25" s="65">
        <f>O17-O24</f>
        <v/>
      </c>
      <c r="P25" s="65">
        <f>P17-P24</f>
        <v/>
      </c>
      <c r="Q25" s="65">
        <f>Q17-Q24</f>
        <v/>
      </c>
      <c r="R25" s="65">
        <f>R17-R24</f>
        <v/>
      </c>
      <c r="S25" s="65">
        <f>S17-S24</f>
        <v/>
      </c>
      <c r="T25" s="65">
        <f>T17-T24</f>
        <v/>
      </c>
      <c r="U25" s="65">
        <f>U17-U24</f>
        <v/>
      </c>
      <c r="V25" s="65">
        <f>V17-V24</f>
        <v/>
      </c>
      <c r="W25" s="65">
        <f>W17-W24</f>
        <v/>
      </c>
      <c r="X25" s="65">
        <f>X17-X24</f>
        <v/>
      </c>
      <c r="Y25" s="65">
        <f>Y17-Y24</f>
        <v/>
      </c>
      <c r="Z25" s="65">
        <f>Z17-Z24</f>
        <v/>
      </c>
      <c r="AA25" s="65">
        <f>AA17-AA24</f>
        <v/>
      </c>
      <c r="AB25" s="65">
        <f>AB17-AB24</f>
        <v/>
      </c>
      <c r="AC25" s="65">
        <f>AC17-AC24</f>
        <v/>
      </c>
      <c r="AD25" s="65">
        <f>AD17-AD24</f>
        <v/>
      </c>
      <c r="AE25" s="65">
        <f>AE17-AE24</f>
        <v/>
      </c>
      <c r="AF25" s="65">
        <f>AF17-AF24</f>
        <v/>
      </c>
      <c r="AG25" s="65">
        <f>AG17-AG24</f>
        <v/>
      </c>
      <c r="AH25" s="65">
        <f>AH17-AH24</f>
        <v/>
      </c>
      <c r="AI25" s="65">
        <f>AI17-AI24</f>
        <v/>
      </c>
      <c r="AJ25" s="65">
        <f>AJ17-AJ24</f>
        <v/>
      </c>
      <c r="AK25" s="65">
        <f>AK17-AK24</f>
        <v/>
      </c>
      <c r="AL25" s="65">
        <f>AL17-AL24</f>
        <v/>
      </c>
      <c r="AM25" s="65">
        <f>AM17-AM24</f>
        <v/>
      </c>
      <c r="AN25" s="65">
        <f>AN17-AN24</f>
        <v/>
      </c>
      <c r="AO25" s="65">
        <f>AO17-AO24</f>
        <v/>
      </c>
      <c r="AP25" s="65">
        <f>AP17-AP24</f>
        <v/>
      </c>
      <c r="AQ25" s="65">
        <f>AQ17-AQ24</f>
        <v/>
      </c>
      <c r="AR25" s="65">
        <f>AR17-AR24</f>
        <v/>
      </c>
      <c r="AS25" s="65">
        <f>AS17-AS24</f>
        <v/>
      </c>
      <c r="AT25" s="65">
        <f>AT17-AT24</f>
        <v/>
      </c>
      <c r="AU25" s="65">
        <f>AU17-AU24</f>
        <v/>
      </c>
      <c r="AV25" s="65">
        <f>AV17-AV24</f>
        <v/>
      </c>
      <c r="AW25" s="65">
        <f>AW17-AW24</f>
        <v/>
      </c>
      <c r="AX25" s="65">
        <f>AX17-AX24</f>
        <v/>
      </c>
      <c r="AY25" s="65">
        <f>AY17-AY24</f>
        <v/>
      </c>
      <c r="AZ25" s="65">
        <f>AZ17-AZ24</f>
        <v/>
      </c>
      <c r="BA25" s="65">
        <f>BA17-BA24</f>
        <v/>
      </c>
      <c r="BB25" s="65">
        <f>BB17-BB24</f>
        <v/>
      </c>
      <c r="BC25" s="65">
        <f>BC17-BC24</f>
        <v/>
      </c>
      <c r="BD25" s="65">
        <f>BD17-BD24</f>
        <v/>
      </c>
      <c r="BE25" s="65">
        <f>BE17-BE24</f>
        <v/>
      </c>
      <c r="BF25" s="65">
        <f>BF17-BF24</f>
        <v/>
      </c>
      <c r="BG25" s="65">
        <f>BG17-BG24</f>
        <v/>
      </c>
      <c r="BH25" s="65">
        <f>BH17-BH24</f>
        <v/>
      </c>
      <c r="BI25" s="65">
        <f>BI17-BI24</f>
        <v/>
      </c>
      <c r="BJ25" s="65">
        <f>BJ17-BJ24</f>
        <v/>
      </c>
      <c r="BK25" s="65">
        <f>BK17-BK24</f>
        <v/>
      </c>
      <c r="BL25" s="65">
        <f>BL17-BL24</f>
        <v/>
      </c>
      <c r="BM25" s="65">
        <f>BM17-BM24</f>
        <v/>
      </c>
      <c r="BN25" s="65">
        <f>BN17-BN24</f>
        <v/>
      </c>
      <c r="BO25" s="65">
        <f>BO17-BO24</f>
        <v/>
      </c>
      <c r="BP25" s="65">
        <f>BP17-BP24</f>
        <v/>
      </c>
      <c r="BQ25" s="65">
        <f>BQ17-BQ24</f>
        <v/>
      </c>
      <c r="BR25" s="65">
        <f>BR17-BR24</f>
        <v/>
      </c>
      <c r="BS25" s="65">
        <f>BS17-BS24</f>
        <v/>
      </c>
      <c r="BT25" s="65">
        <f>BT17-BT24</f>
        <v/>
      </c>
      <c r="BU25" s="65">
        <f>BU17-BU24</f>
        <v/>
      </c>
      <c r="BV25" s="65">
        <f>BV17-BV24</f>
        <v/>
      </c>
      <c r="BW25" s="65">
        <f>BW17-BW24</f>
        <v/>
      </c>
      <c r="BX25" s="65">
        <f>BX17-BX24</f>
        <v/>
      </c>
      <c r="BY25" s="65">
        <f>BY17-BY24</f>
        <v/>
      </c>
      <c r="BZ25" s="65">
        <f>BZ17-BZ24</f>
        <v/>
      </c>
      <c r="CA25" s="65">
        <f>CA17-CA24</f>
        <v/>
      </c>
      <c r="CB25" s="65">
        <f>CB17-CB24</f>
        <v/>
      </c>
      <c r="CC25" s="65">
        <f>CC17-CC24</f>
        <v/>
      </c>
      <c r="CD25" s="65">
        <f>CD17-CD24</f>
        <v/>
      </c>
      <c r="CE25" s="65">
        <f>CE17-CE24</f>
        <v/>
      </c>
      <c r="CF25" s="65">
        <f>CF17-CF24</f>
        <v/>
      </c>
      <c r="CG25" s="65">
        <f>CG17-CG24</f>
        <v/>
      </c>
      <c r="CH25" s="65">
        <f>CH17-CH24</f>
        <v/>
      </c>
      <c r="CI25" s="65">
        <f>CI17-CI24</f>
        <v/>
      </c>
      <c r="CJ25" s="65">
        <f>CJ17-CJ24</f>
        <v/>
      </c>
      <c r="CK25" s="65">
        <f>CK17-CK24</f>
        <v/>
      </c>
      <c r="CL25" s="65">
        <f>CL17-CL24</f>
        <v/>
      </c>
      <c r="CM25" s="65">
        <f>CM17-CM24</f>
        <v/>
      </c>
      <c r="CN25" s="65">
        <f>CN17-CN24</f>
        <v/>
      </c>
      <c r="CO25" s="65">
        <f>CO17-CO24</f>
        <v/>
      </c>
      <c r="CP25" s="65">
        <f>CP17-CP24</f>
        <v/>
      </c>
      <c r="CQ25" s="65">
        <f>CQ17-CQ24</f>
        <v/>
      </c>
      <c r="CR25" s="65">
        <f>CR17-CR24</f>
        <v/>
      </c>
      <c r="CS25" s="65">
        <f>CS17-CS24</f>
        <v/>
      </c>
      <c r="CT25" s="65">
        <f>CT17-CT24</f>
        <v/>
      </c>
      <c r="CU25" s="65">
        <f>CU17-CU24</f>
        <v/>
      </c>
      <c r="CV25" s="65">
        <f>CV17-CV24</f>
        <v/>
      </c>
      <c r="CW25" s="65">
        <f>CW17-CW24</f>
        <v/>
      </c>
      <c r="CX25" s="65">
        <f>CX17-CX24</f>
        <v/>
      </c>
      <c r="CY25" s="65">
        <f>CY17-CY24</f>
        <v/>
      </c>
      <c r="CZ25" s="65">
        <f>CZ17-CZ24</f>
        <v/>
      </c>
      <c r="DA25" s="65">
        <f>DA17-DA24</f>
        <v/>
      </c>
      <c r="DB25" s="65">
        <f>DB17-DB24</f>
        <v/>
      </c>
      <c r="DC25" s="65">
        <f>DC17-DC24</f>
        <v/>
      </c>
      <c r="DD25" s="65">
        <f>DD17-DD24</f>
        <v/>
      </c>
      <c r="DE25" s="65">
        <f>DE17-DE24</f>
        <v/>
      </c>
      <c r="DF25" s="65">
        <f>DF17-DF24</f>
        <v/>
      </c>
      <c r="DG25" s="65">
        <f>DG17-DG24</f>
        <v/>
      </c>
      <c r="DH25" s="65">
        <f>DH17-DH24</f>
        <v/>
      </c>
      <c r="DI25" s="65">
        <f>DI17-DI24</f>
        <v/>
      </c>
      <c r="DJ25" s="65">
        <f>DJ17-DJ24</f>
        <v/>
      </c>
      <c r="DK25" s="65">
        <f>DK17-DK24</f>
        <v/>
      </c>
      <c r="DL25" s="65">
        <f>DL17-DL24</f>
        <v/>
      </c>
      <c r="DM25" s="65">
        <f>DM17-DM24</f>
        <v/>
      </c>
      <c r="DN25" s="65">
        <f>DN17-DN24</f>
        <v/>
      </c>
      <c r="DO25" s="65">
        <f>DO17-DO24</f>
        <v/>
      </c>
      <c r="DP25" s="65">
        <f>DP17-DP24</f>
        <v/>
      </c>
      <c r="DQ25" s="65">
        <f>DQ17-DQ24</f>
        <v/>
      </c>
      <c r="DR25" s="65">
        <f>DR17-DR24</f>
        <v/>
      </c>
      <c r="DS25" s="65">
        <f>DS17-DS24</f>
        <v/>
      </c>
    </row>
    <row r="26">
      <c r="B26" s="22" t="inlineStr">
        <is>
          <t>التكاليف الثابتة</t>
        </is>
      </c>
      <c r="C26" s="65">
        <f>IF(C$3=0,0,'الافتراضات'!$C$104*C$7)</f>
        <v/>
      </c>
      <c r="D26" s="65">
        <f>IF(D$3=0,0,'الافتراضات'!$C$104*D$7)</f>
        <v/>
      </c>
      <c r="E26" s="65">
        <f>IF(E$3=0,0,'الافتراضات'!$C$104*E$7)</f>
        <v/>
      </c>
      <c r="F26" s="65">
        <f>IF(F$3=0,0,'الافتراضات'!$C$104*F$7)</f>
        <v/>
      </c>
      <c r="G26" s="65">
        <f>IF(G$3=0,0,'الافتراضات'!$C$104*G$7)</f>
        <v/>
      </c>
      <c r="H26" s="65">
        <f>IF(H$3=0,0,'الافتراضات'!$C$104*H$7)</f>
        <v/>
      </c>
      <c r="I26" s="65">
        <f>IF(I$3=0,0,'الافتراضات'!$C$104*I$7)</f>
        <v/>
      </c>
      <c r="J26" s="65">
        <f>IF(J$3=0,0,'الافتراضات'!$C$104*J$7)</f>
        <v/>
      </c>
      <c r="K26" s="65">
        <f>IF(K$3=0,0,'الافتراضات'!$C$104*K$7)</f>
        <v/>
      </c>
      <c r="L26" s="65">
        <f>IF(L$3=0,0,'الافتراضات'!$C$104*L$7)</f>
        <v/>
      </c>
      <c r="M26" s="65">
        <f>IF(M$3=0,0,'الافتراضات'!$C$104*M$7)</f>
        <v/>
      </c>
      <c r="N26" s="65">
        <f>IF(N$3=0,0,'الافتراضات'!$C$104*N$7)</f>
        <v/>
      </c>
      <c r="O26" s="65">
        <f>IF(O$3=0,0,'الافتراضات'!$C$104*O$7)</f>
        <v/>
      </c>
      <c r="P26" s="65">
        <f>IF(P$3=0,0,'الافتراضات'!$C$104*P$7)</f>
        <v/>
      </c>
      <c r="Q26" s="65">
        <f>IF(Q$3=0,0,'الافتراضات'!$C$104*Q$7)</f>
        <v/>
      </c>
      <c r="R26" s="65">
        <f>IF(R$3=0,0,'الافتراضات'!$C$104*R$7)</f>
        <v/>
      </c>
      <c r="S26" s="65">
        <f>IF(S$3=0,0,'الافتراضات'!$C$104*S$7)</f>
        <v/>
      </c>
      <c r="T26" s="65">
        <f>IF(T$3=0,0,'الافتراضات'!$C$104*T$7)</f>
        <v/>
      </c>
      <c r="U26" s="65">
        <f>IF(U$3=0,0,'الافتراضات'!$C$104*U$7)</f>
        <v/>
      </c>
      <c r="V26" s="65">
        <f>IF(V$3=0,0,'الافتراضات'!$C$104*V$7)</f>
        <v/>
      </c>
      <c r="W26" s="65">
        <f>IF(W$3=0,0,'الافتراضات'!$C$104*W$7)</f>
        <v/>
      </c>
      <c r="X26" s="65">
        <f>IF(X$3=0,0,'الافتراضات'!$C$104*X$7)</f>
        <v/>
      </c>
      <c r="Y26" s="65">
        <f>IF(Y$3=0,0,'الافتراضات'!$C$104*Y$7)</f>
        <v/>
      </c>
      <c r="Z26" s="65">
        <f>IF(Z$3=0,0,'الافتراضات'!$C$104*Z$7)</f>
        <v/>
      </c>
      <c r="AA26" s="65">
        <f>IF(AA$3=0,0,'الافتراضات'!$C$104*AA$7)</f>
        <v/>
      </c>
      <c r="AB26" s="65">
        <f>IF(AB$3=0,0,'الافتراضات'!$C$104*AB$7)</f>
        <v/>
      </c>
      <c r="AC26" s="65">
        <f>IF(AC$3=0,0,'الافتراضات'!$C$104*AC$7)</f>
        <v/>
      </c>
      <c r="AD26" s="65">
        <f>IF(AD$3=0,0,'الافتراضات'!$C$104*AD$7)</f>
        <v/>
      </c>
      <c r="AE26" s="65">
        <f>IF(AE$3=0,0,'الافتراضات'!$C$104*AE$7)</f>
        <v/>
      </c>
      <c r="AF26" s="65">
        <f>IF(AF$3=0,0,'الافتراضات'!$C$104*AF$7)</f>
        <v/>
      </c>
      <c r="AG26" s="65">
        <f>IF(AG$3=0,0,'الافتراضات'!$C$104*AG$7)</f>
        <v/>
      </c>
      <c r="AH26" s="65">
        <f>IF(AH$3=0,0,'الافتراضات'!$C$104*AH$7)</f>
        <v/>
      </c>
      <c r="AI26" s="65">
        <f>IF(AI$3=0,0,'الافتراضات'!$C$104*AI$7)</f>
        <v/>
      </c>
      <c r="AJ26" s="65">
        <f>IF(AJ$3=0,0,'الافتراضات'!$C$104*AJ$7)</f>
        <v/>
      </c>
      <c r="AK26" s="65">
        <f>IF(AK$3=0,0,'الافتراضات'!$C$104*AK$7)</f>
        <v/>
      </c>
      <c r="AL26" s="65">
        <f>IF(AL$3=0,0,'الافتراضات'!$C$104*AL$7)</f>
        <v/>
      </c>
      <c r="AM26" s="65">
        <f>IF(AM$3=0,0,'الافتراضات'!$C$104*AM$7)</f>
        <v/>
      </c>
      <c r="AN26" s="65">
        <f>IF(AN$3=0,0,'الافتراضات'!$C$104*AN$7)</f>
        <v/>
      </c>
      <c r="AO26" s="65">
        <f>IF(AO$3=0,0,'الافتراضات'!$C$104*AO$7)</f>
        <v/>
      </c>
      <c r="AP26" s="65">
        <f>IF(AP$3=0,0,'الافتراضات'!$C$104*AP$7)</f>
        <v/>
      </c>
      <c r="AQ26" s="65">
        <f>IF(AQ$3=0,0,'الافتراضات'!$C$104*AQ$7)</f>
        <v/>
      </c>
      <c r="AR26" s="65">
        <f>IF(AR$3=0,0,'الافتراضات'!$C$104*AR$7)</f>
        <v/>
      </c>
      <c r="AS26" s="65">
        <f>IF(AS$3=0,0,'الافتراضات'!$C$104*AS$7)</f>
        <v/>
      </c>
      <c r="AT26" s="65">
        <f>IF(AT$3=0,0,'الافتراضات'!$C$104*AT$7)</f>
        <v/>
      </c>
      <c r="AU26" s="65">
        <f>IF(AU$3=0,0,'الافتراضات'!$C$104*AU$7)</f>
        <v/>
      </c>
      <c r="AV26" s="65">
        <f>IF(AV$3=0,0,'الافتراضات'!$C$104*AV$7)</f>
        <v/>
      </c>
      <c r="AW26" s="65">
        <f>IF(AW$3=0,0,'الافتراضات'!$C$104*AW$7)</f>
        <v/>
      </c>
      <c r="AX26" s="65">
        <f>IF(AX$3=0,0,'الافتراضات'!$C$104*AX$7)</f>
        <v/>
      </c>
      <c r="AY26" s="65">
        <f>IF(AY$3=0,0,'الافتراضات'!$C$104*AY$7)</f>
        <v/>
      </c>
      <c r="AZ26" s="65">
        <f>IF(AZ$3=0,0,'الافتراضات'!$C$104*AZ$7)</f>
        <v/>
      </c>
      <c r="BA26" s="65">
        <f>IF(BA$3=0,0,'الافتراضات'!$C$104*BA$7)</f>
        <v/>
      </c>
      <c r="BB26" s="65">
        <f>IF(BB$3=0,0,'الافتراضات'!$C$104*BB$7)</f>
        <v/>
      </c>
      <c r="BC26" s="65">
        <f>IF(BC$3=0,0,'الافتراضات'!$C$104*BC$7)</f>
        <v/>
      </c>
      <c r="BD26" s="65">
        <f>IF(BD$3=0,0,'الافتراضات'!$C$104*BD$7)</f>
        <v/>
      </c>
      <c r="BE26" s="65">
        <f>IF(BE$3=0,0,'الافتراضات'!$C$104*BE$7)</f>
        <v/>
      </c>
      <c r="BF26" s="65">
        <f>IF(BF$3=0,0,'الافتراضات'!$C$104*BF$7)</f>
        <v/>
      </c>
      <c r="BG26" s="65">
        <f>IF(BG$3=0,0,'الافتراضات'!$C$104*BG$7)</f>
        <v/>
      </c>
      <c r="BH26" s="65">
        <f>IF(BH$3=0,0,'الافتراضات'!$C$104*BH$7)</f>
        <v/>
      </c>
      <c r="BI26" s="65">
        <f>IF(BI$3=0,0,'الافتراضات'!$C$104*BI$7)</f>
        <v/>
      </c>
      <c r="BJ26" s="65">
        <f>IF(BJ$3=0,0,'الافتراضات'!$C$104*BJ$7)</f>
        <v/>
      </c>
      <c r="BK26" s="65">
        <f>IF(BK$3=0,0,'الافتراضات'!$C$104*BK$7)</f>
        <v/>
      </c>
      <c r="BL26" s="65">
        <f>IF(BL$3=0,0,'الافتراضات'!$C$104*BL$7)</f>
        <v/>
      </c>
      <c r="BM26" s="65">
        <f>IF(BM$3=0,0,'الافتراضات'!$C$104*BM$7)</f>
        <v/>
      </c>
      <c r="BN26" s="65">
        <f>IF(BN$3=0,0,'الافتراضات'!$C$104*BN$7)</f>
        <v/>
      </c>
      <c r="BO26" s="65">
        <f>IF(BO$3=0,0,'الافتراضات'!$C$104*BO$7)</f>
        <v/>
      </c>
      <c r="BP26" s="65">
        <f>IF(BP$3=0,0,'الافتراضات'!$C$104*BP$7)</f>
        <v/>
      </c>
      <c r="BQ26" s="65">
        <f>IF(BQ$3=0,0,'الافتراضات'!$C$104*BQ$7)</f>
        <v/>
      </c>
      <c r="BR26" s="65">
        <f>IF(BR$3=0,0,'الافتراضات'!$C$104*BR$7)</f>
        <v/>
      </c>
      <c r="BS26" s="65">
        <f>IF(BS$3=0,0,'الافتراضات'!$C$104*BS$7)</f>
        <v/>
      </c>
      <c r="BT26" s="65">
        <f>IF(BT$3=0,0,'الافتراضات'!$C$104*BT$7)</f>
        <v/>
      </c>
      <c r="BU26" s="65">
        <f>IF(BU$3=0,0,'الافتراضات'!$C$104*BU$7)</f>
        <v/>
      </c>
      <c r="BV26" s="65">
        <f>IF(BV$3=0,0,'الافتراضات'!$C$104*BV$7)</f>
        <v/>
      </c>
      <c r="BW26" s="65">
        <f>IF(BW$3=0,0,'الافتراضات'!$C$104*BW$7)</f>
        <v/>
      </c>
      <c r="BX26" s="65">
        <f>IF(BX$3=0,0,'الافتراضات'!$C$104*BX$7)</f>
        <v/>
      </c>
      <c r="BY26" s="65">
        <f>IF(BY$3=0,0,'الافتراضات'!$C$104*BY$7)</f>
        <v/>
      </c>
      <c r="BZ26" s="65">
        <f>IF(BZ$3=0,0,'الافتراضات'!$C$104*BZ$7)</f>
        <v/>
      </c>
      <c r="CA26" s="65">
        <f>IF(CA$3=0,0,'الافتراضات'!$C$104*CA$7)</f>
        <v/>
      </c>
      <c r="CB26" s="65">
        <f>IF(CB$3=0,0,'الافتراضات'!$C$104*CB$7)</f>
        <v/>
      </c>
      <c r="CC26" s="65">
        <f>IF(CC$3=0,0,'الافتراضات'!$C$104*CC$7)</f>
        <v/>
      </c>
      <c r="CD26" s="65">
        <f>IF(CD$3=0,0,'الافتراضات'!$C$104*CD$7)</f>
        <v/>
      </c>
      <c r="CE26" s="65">
        <f>IF(CE$3=0,0,'الافتراضات'!$C$104*CE$7)</f>
        <v/>
      </c>
      <c r="CF26" s="65">
        <f>IF(CF$3=0,0,'الافتراضات'!$C$104*CF$7)</f>
        <v/>
      </c>
      <c r="CG26" s="65">
        <f>IF(CG$3=0,0,'الافتراضات'!$C$104*CG$7)</f>
        <v/>
      </c>
      <c r="CH26" s="65">
        <f>IF(CH$3=0,0,'الافتراضات'!$C$104*CH$7)</f>
        <v/>
      </c>
      <c r="CI26" s="65">
        <f>IF(CI$3=0,0,'الافتراضات'!$C$104*CI$7)</f>
        <v/>
      </c>
      <c r="CJ26" s="65">
        <f>IF(CJ$3=0,0,'الافتراضات'!$C$104*CJ$7)</f>
        <v/>
      </c>
      <c r="CK26" s="65">
        <f>IF(CK$3=0,0,'الافتراضات'!$C$104*CK$7)</f>
        <v/>
      </c>
      <c r="CL26" s="65">
        <f>IF(CL$3=0,0,'الافتراضات'!$C$104*CL$7)</f>
        <v/>
      </c>
      <c r="CM26" s="65">
        <f>IF(CM$3=0,0,'الافتراضات'!$C$104*CM$7)</f>
        <v/>
      </c>
      <c r="CN26" s="65">
        <f>IF(CN$3=0,0,'الافتراضات'!$C$104*CN$7)</f>
        <v/>
      </c>
      <c r="CO26" s="65">
        <f>IF(CO$3=0,0,'الافتراضات'!$C$104*CO$7)</f>
        <v/>
      </c>
      <c r="CP26" s="65">
        <f>IF(CP$3=0,0,'الافتراضات'!$C$104*CP$7)</f>
        <v/>
      </c>
      <c r="CQ26" s="65">
        <f>IF(CQ$3=0,0,'الافتراضات'!$C$104*CQ$7)</f>
        <v/>
      </c>
      <c r="CR26" s="65">
        <f>IF(CR$3=0,0,'الافتراضات'!$C$104*CR$7)</f>
        <v/>
      </c>
      <c r="CS26" s="65">
        <f>IF(CS$3=0,0,'الافتراضات'!$C$104*CS$7)</f>
        <v/>
      </c>
      <c r="CT26" s="65">
        <f>IF(CT$3=0,0,'الافتراضات'!$C$104*CT$7)</f>
        <v/>
      </c>
      <c r="CU26" s="65">
        <f>IF(CU$3=0,0,'الافتراضات'!$C$104*CU$7)</f>
        <v/>
      </c>
      <c r="CV26" s="65">
        <f>IF(CV$3=0,0,'الافتراضات'!$C$104*CV$7)</f>
        <v/>
      </c>
      <c r="CW26" s="65">
        <f>IF(CW$3=0,0,'الافتراضات'!$C$104*CW$7)</f>
        <v/>
      </c>
      <c r="CX26" s="65">
        <f>IF(CX$3=0,0,'الافتراضات'!$C$104*CX$7)</f>
        <v/>
      </c>
      <c r="CY26" s="65">
        <f>IF(CY$3=0,0,'الافتراضات'!$C$104*CY$7)</f>
        <v/>
      </c>
      <c r="CZ26" s="65">
        <f>IF(CZ$3=0,0,'الافتراضات'!$C$104*CZ$7)</f>
        <v/>
      </c>
      <c r="DA26" s="65">
        <f>IF(DA$3=0,0,'الافتراضات'!$C$104*DA$7)</f>
        <v/>
      </c>
      <c r="DB26" s="65">
        <f>IF(DB$3=0,0,'الافتراضات'!$C$104*DB$7)</f>
        <v/>
      </c>
      <c r="DC26" s="65">
        <f>IF(DC$3=0,0,'الافتراضات'!$C$104*DC$7)</f>
        <v/>
      </c>
      <c r="DD26" s="65">
        <f>IF(DD$3=0,0,'الافتراضات'!$C$104*DD$7)</f>
        <v/>
      </c>
      <c r="DE26" s="65">
        <f>IF(DE$3=0,0,'الافتراضات'!$C$104*DE$7)</f>
        <v/>
      </c>
      <c r="DF26" s="65">
        <f>IF(DF$3=0,0,'الافتراضات'!$C$104*DF$7)</f>
        <v/>
      </c>
      <c r="DG26" s="65">
        <f>IF(DG$3=0,0,'الافتراضات'!$C$104*DG$7)</f>
        <v/>
      </c>
      <c r="DH26" s="65">
        <f>IF(DH$3=0,0,'الافتراضات'!$C$104*DH$7)</f>
        <v/>
      </c>
      <c r="DI26" s="65">
        <f>IF(DI$3=0,0,'الافتراضات'!$C$104*DI$7)</f>
        <v/>
      </c>
      <c r="DJ26" s="65">
        <f>IF(DJ$3=0,0,'الافتراضات'!$C$104*DJ$7)</f>
        <v/>
      </c>
      <c r="DK26" s="65">
        <f>IF(DK$3=0,0,'الافتراضات'!$C$104*DK$7)</f>
        <v/>
      </c>
      <c r="DL26" s="65">
        <f>IF(DL$3=0,0,'الافتراضات'!$C$104*DL$7)</f>
        <v/>
      </c>
      <c r="DM26" s="65">
        <f>IF(DM$3=0,0,'الافتراضات'!$C$104*DM$7)</f>
        <v/>
      </c>
      <c r="DN26" s="65">
        <f>IF(DN$3=0,0,'الافتراضات'!$C$104*DN$7)</f>
        <v/>
      </c>
      <c r="DO26" s="65">
        <f>IF(DO$3=0,0,'الافتراضات'!$C$104*DO$7)</f>
        <v/>
      </c>
      <c r="DP26" s="65">
        <f>IF(DP$3=0,0,'الافتراضات'!$C$104*DP$7)</f>
        <v/>
      </c>
      <c r="DQ26" s="65">
        <f>IF(DQ$3=0,0,'الافتراضات'!$C$104*DQ$7)</f>
        <v/>
      </c>
      <c r="DR26" s="65">
        <f>IF(DR$3=0,0,'الافتراضات'!$C$104*DR$7)</f>
        <v/>
      </c>
      <c r="DS26" s="65">
        <f>IF(DS$3=0,0,'الافتراضات'!$C$104*DS$7)</f>
        <v/>
      </c>
    </row>
    <row r="27">
      <c r="B27" s="34" t="inlineStr">
        <is>
          <t>EBITDA</t>
        </is>
      </c>
      <c r="C27" s="66">
        <f>C25-C26</f>
        <v/>
      </c>
      <c r="D27" s="66">
        <f>D25-D26</f>
        <v/>
      </c>
      <c r="E27" s="66">
        <f>E25-E26</f>
        <v/>
      </c>
      <c r="F27" s="66">
        <f>F25-F26</f>
        <v/>
      </c>
      <c r="G27" s="66">
        <f>G25-G26</f>
        <v/>
      </c>
      <c r="H27" s="66">
        <f>H25-H26</f>
        <v/>
      </c>
      <c r="I27" s="66">
        <f>I25-I26</f>
        <v/>
      </c>
      <c r="J27" s="66">
        <f>J25-J26</f>
        <v/>
      </c>
      <c r="K27" s="66">
        <f>K25-K26</f>
        <v/>
      </c>
      <c r="L27" s="66">
        <f>L25-L26</f>
        <v/>
      </c>
      <c r="M27" s="66">
        <f>M25-M26</f>
        <v/>
      </c>
      <c r="N27" s="66">
        <f>N25-N26</f>
        <v/>
      </c>
      <c r="O27" s="66">
        <f>O25-O26</f>
        <v/>
      </c>
      <c r="P27" s="66">
        <f>P25-P26</f>
        <v/>
      </c>
      <c r="Q27" s="66">
        <f>Q25-Q26</f>
        <v/>
      </c>
      <c r="R27" s="66">
        <f>R25-R26</f>
        <v/>
      </c>
      <c r="S27" s="66">
        <f>S25-S26</f>
        <v/>
      </c>
      <c r="T27" s="66">
        <f>T25-T26</f>
        <v/>
      </c>
      <c r="U27" s="66">
        <f>U25-U26</f>
        <v/>
      </c>
      <c r="V27" s="66">
        <f>V25-V26</f>
        <v/>
      </c>
      <c r="W27" s="66">
        <f>W25-W26</f>
        <v/>
      </c>
      <c r="X27" s="66">
        <f>X25-X26</f>
        <v/>
      </c>
      <c r="Y27" s="66">
        <f>Y25-Y26</f>
        <v/>
      </c>
      <c r="Z27" s="66">
        <f>Z25-Z26</f>
        <v/>
      </c>
      <c r="AA27" s="66">
        <f>AA25-AA26</f>
        <v/>
      </c>
      <c r="AB27" s="66">
        <f>AB25-AB26</f>
        <v/>
      </c>
      <c r="AC27" s="66">
        <f>AC25-AC26</f>
        <v/>
      </c>
      <c r="AD27" s="66">
        <f>AD25-AD26</f>
        <v/>
      </c>
      <c r="AE27" s="66">
        <f>AE25-AE26</f>
        <v/>
      </c>
      <c r="AF27" s="66">
        <f>AF25-AF26</f>
        <v/>
      </c>
      <c r="AG27" s="66">
        <f>AG25-AG26</f>
        <v/>
      </c>
      <c r="AH27" s="66">
        <f>AH25-AH26</f>
        <v/>
      </c>
      <c r="AI27" s="66">
        <f>AI25-AI26</f>
        <v/>
      </c>
      <c r="AJ27" s="66">
        <f>AJ25-AJ26</f>
        <v/>
      </c>
      <c r="AK27" s="66">
        <f>AK25-AK26</f>
        <v/>
      </c>
      <c r="AL27" s="66">
        <f>AL25-AL26</f>
        <v/>
      </c>
      <c r="AM27" s="66">
        <f>AM25-AM26</f>
        <v/>
      </c>
      <c r="AN27" s="66">
        <f>AN25-AN26</f>
        <v/>
      </c>
      <c r="AO27" s="66">
        <f>AO25-AO26</f>
        <v/>
      </c>
      <c r="AP27" s="66">
        <f>AP25-AP26</f>
        <v/>
      </c>
      <c r="AQ27" s="66">
        <f>AQ25-AQ26</f>
        <v/>
      </c>
      <c r="AR27" s="66">
        <f>AR25-AR26</f>
        <v/>
      </c>
      <c r="AS27" s="66">
        <f>AS25-AS26</f>
        <v/>
      </c>
      <c r="AT27" s="66">
        <f>AT25-AT26</f>
        <v/>
      </c>
      <c r="AU27" s="66">
        <f>AU25-AU26</f>
        <v/>
      </c>
      <c r="AV27" s="66">
        <f>AV25-AV26</f>
        <v/>
      </c>
      <c r="AW27" s="66">
        <f>AW25-AW26</f>
        <v/>
      </c>
      <c r="AX27" s="66">
        <f>AX25-AX26</f>
        <v/>
      </c>
      <c r="AY27" s="66">
        <f>AY25-AY26</f>
        <v/>
      </c>
      <c r="AZ27" s="66">
        <f>AZ25-AZ26</f>
        <v/>
      </c>
      <c r="BA27" s="66">
        <f>BA25-BA26</f>
        <v/>
      </c>
      <c r="BB27" s="66">
        <f>BB25-BB26</f>
        <v/>
      </c>
      <c r="BC27" s="66">
        <f>BC25-BC26</f>
        <v/>
      </c>
      <c r="BD27" s="66">
        <f>BD25-BD26</f>
        <v/>
      </c>
      <c r="BE27" s="66">
        <f>BE25-BE26</f>
        <v/>
      </c>
      <c r="BF27" s="66">
        <f>BF25-BF26</f>
        <v/>
      </c>
      <c r="BG27" s="66">
        <f>BG25-BG26</f>
        <v/>
      </c>
      <c r="BH27" s="66">
        <f>BH25-BH26</f>
        <v/>
      </c>
      <c r="BI27" s="66">
        <f>BI25-BI26</f>
        <v/>
      </c>
      <c r="BJ27" s="66">
        <f>BJ25-BJ26</f>
        <v/>
      </c>
      <c r="BK27" s="66">
        <f>BK25-BK26</f>
        <v/>
      </c>
      <c r="BL27" s="66">
        <f>BL25-BL26</f>
        <v/>
      </c>
      <c r="BM27" s="66">
        <f>BM25-BM26</f>
        <v/>
      </c>
      <c r="BN27" s="66">
        <f>BN25-BN26</f>
        <v/>
      </c>
      <c r="BO27" s="66">
        <f>BO25-BO26</f>
        <v/>
      </c>
      <c r="BP27" s="66">
        <f>BP25-BP26</f>
        <v/>
      </c>
      <c r="BQ27" s="66">
        <f>BQ25-BQ26</f>
        <v/>
      </c>
      <c r="BR27" s="66">
        <f>BR25-BR26</f>
        <v/>
      </c>
      <c r="BS27" s="66">
        <f>BS25-BS26</f>
        <v/>
      </c>
      <c r="BT27" s="66">
        <f>BT25-BT26</f>
        <v/>
      </c>
      <c r="BU27" s="66">
        <f>BU25-BU26</f>
        <v/>
      </c>
      <c r="BV27" s="66">
        <f>BV25-BV26</f>
        <v/>
      </c>
      <c r="BW27" s="66">
        <f>BW25-BW26</f>
        <v/>
      </c>
      <c r="BX27" s="66">
        <f>BX25-BX26</f>
        <v/>
      </c>
      <c r="BY27" s="66">
        <f>BY25-BY26</f>
        <v/>
      </c>
      <c r="BZ27" s="66">
        <f>BZ25-BZ26</f>
        <v/>
      </c>
      <c r="CA27" s="66">
        <f>CA25-CA26</f>
        <v/>
      </c>
      <c r="CB27" s="66">
        <f>CB25-CB26</f>
        <v/>
      </c>
      <c r="CC27" s="66">
        <f>CC25-CC26</f>
        <v/>
      </c>
      <c r="CD27" s="66">
        <f>CD25-CD26</f>
        <v/>
      </c>
      <c r="CE27" s="66">
        <f>CE25-CE26</f>
        <v/>
      </c>
      <c r="CF27" s="66">
        <f>CF25-CF26</f>
        <v/>
      </c>
      <c r="CG27" s="66">
        <f>CG25-CG26</f>
        <v/>
      </c>
      <c r="CH27" s="66">
        <f>CH25-CH26</f>
        <v/>
      </c>
      <c r="CI27" s="66">
        <f>CI25-CI26</f>
        <v/>
      </c>
      <c r="CJ27" s="66">
        <f>CJ25-CJ26</f>
        <v/>
      </c>
      <c r="CK27" s="66">
        <f>CK25-CK26</f>
        <v/>
      </c>
      <c r="CL27" s="66">
        <f>CL25-CL26</f>
        <v/>
      </c>
      <c r="CM27" s="66">
        <f>CM25-CM26</f>
        <v/>
      </c>
      <c r="CN27" s="66">
        <f>CN25-CN26</f>
        <v/>
      </c>
      <c r="CO27" s="66">
        <f>CO25-CO26</f>
        <v/>
      </c>
      <c r="CP27" s="66">
        <f>CP25-CP26</f>
        <v/>
      </c>
      <c r="CQ27" s="66">
        <f>CQ25-CQ26</f>
        <v/>
      </c>
      <c r="CR27" s="66">
        <f>CR25-CR26</f>
        <v/>
      </c>
      <c r="CS27" s="66">
        <f>CS25-CS26</f>
        <v/>
      </c>
      <c r="CT27" s="66">
        <f>CT25-CT26</f>
        <v/>
      </c>
      <c r="CU27" s="66">
        <f>CU25-CU26</f>
        <v/>
      </c>
      <c r="CV27" s="66">
        <f>CV25-CV26</f>
        <v/>
      </c>
      <c r="CW27" s="66">
        <f>CW25-CW26</f>
        <v/>
      </c>
      <c r="CX27" s="66">
        <f>CX25-CX26</f>
        <v/>
      </c>
      <c r="CY27" s="66">
        <f>CY25-CY26</f>
        <v/>
      </c>
      <c r="CZ27" s="66">
        <f>CZ25-CZ26</f>
        <v/>
      </c>
      <c r="DA27" s="66">
        <f>DA25-DA26</f>
        <v/>
      </c>
      <c r="DB27" s="66">
        <f>DB25-DB26</f>
        <v/>
      </c>
      <c r="DC27" s="66">
        <f>DC25-DC26</f>
        <v/>
      </c>
      <c r="DD27" s="66">
        <f>DD25-DD26</f>
        <v/>
      </c>
      <c r="DE27" s="66">
        <f>DE25-DE26</f>
        <v/>
      </c>
      <c r="DF27" s="66">
        <f>DF25-DF26</f>
        <v/>
      </c>
      <c r="DG27" s="66">
        <f>DG25-DG26</f>
        <v/>
      </c>
      <c r="DH27" s="66">
        <f>DH25-DH26</f>
        <v/>
      </c>
      <c r="DI27" s="66">
        <f>DI25-DI26</f>
        <v/>
      </c>
      <c r="DJ27" s="66">
        <f>DJ25-DJ26</f>
        <v/>
      </c>
      <c r="DK27" s="66">
        <f>DK25-DK26</f>
        <v/>
      </c>
      <c r="DL27" s="66">
        <f>DL25-DL26</f>
        <v/>
      </c>
      <c r="DM27" s="66">
        <f>DM25-DM26</f>
        <v/>
      </c>
      <c r="DN27" s="66">
        <f>DN25-DN26</f>
        <v/>
      </c>
      <c r="DO27" s="66">
        <f>DO25-DO26</f>
        <v/>
      </c>
      <c r="DP27" s="66">
        <f>DP25-DP26</f>
        <v/>
      </c>
      <c r="DQ27" s="66">
        <f>DQ25-DQ26</f>
        <v/>
      </c>
      <c r="DR27" s="66">
        <f>DR25-DR26</f>
        <v/>
      </c>
      <c r="DS27" s="66">
        <f>DS25-DS26</f>
        <v/>
      </c>
    </row>
    <row r="28">
      <c r="B28" s="22" t="inlineStr">
        <is>
          <t>الاهتلاك والإطفاء</t>
        </is>
      </c>
      <c r="C28" s="65">
        <f>IF(C$3=0,0,'CAPEX'!$C$50/12)</f>
        <v/>
      </c>
      <c r="D28" s="65">
        <f>IF(D$3=0,0,'CAPEX'!$C$50/12)</f>
        <v/>
      </c>
      <c r="E28" s="65">
        <f>IF(E$3=0,0,'CAPEX'!$C$50/12)</f>
        <v/>
      </c>
      <c r="F28" s="65">
        <f>IF(F$3=0,0,'CAPEX'!$C$50/12)</f>
        <v/>
      </c>
      <c r="G28" s="65">
        <f>IF(G$3=0,0,'CAPEX'!$C$50/12)</f>
        <v/>
      </c>
      <c r="H28" s="65">
        <f>IF(H$3=0,0,'CAPEX'!$C$50/12)</f>
        <v/>
      </c>
      <c r="I28" s="65">
        <f>IF(I$3=0,0,'CAPEX'!$C$50/12)</f>
        <v/>
      </c>
      <c r="J28" s="65">
        <f>IF(J$3=0,0,'CAPEX'!$C$50/12)</f>
        <v/>
      </c>
      <c r="K28" s="65">
        <f>IF(K$3=0,0,'CAPEX'!$C$50/12)</f>
        <v/>
      </c>
      <c r="L28" s="65">
        <f>IF(L$3=0,0,'CAPEX'!$C$50/12)</f>
        <v/>
      </c>
      <c r="M28" s="65">
        <f>IF(M$3=0,0,'CAPEX'!$C$50/12)</f>
        <v/>
      </c>
      <c r="N28" s="65">
        <f>IF(N$3=0,0,'CAPEX'!$C$50/12)</f>
        <v/>
      </c>
      <c r="O28" s="65">
        <f>IF(O$3=0,0,'CAPEX'!$C$50/12)</f>
        <v/>
      </c>
      <c r="P28" s="65">
        <f>IF(P$3=0,0,'CAPEX'!$C$50/12)</f>
        <v/>
      </c>
      <c r="Q28" s="65">
        <f>IF(Q$3=0,0,'CAPEX'!$C$50/12)</f>
        <v/>
      </c>
      <c r="R28" s="65">
        <f>IF(R$3=0,0,'CAPEX'!$C$50/12)</f>
        <v/>
      </c>
      <c r="S28" s="65">
        <f>IF(S$3=0,0,'CAPEX'!$C$50/12)</f>
        <v/>
      </c>
      <c r="T28" s="65">
        <f>IF(T$3=0,0,'CAPEX'!$C$50/12)</f>
        <v/>
      </c>
      <c r="U28" s="65">
        <f>IF(U$3=0,0,'CAPEX'!$C$50/12)</f>
        <v/>
      </c>
      <c r="V28" s="65">
        <f>IF(V$3=0,0,'CAPEX'!$C$50/12)</f>
        <v/>
      </c>
      <c r="W28" s="65">
        <f>IF(W$3=0,0,'CAPEX'!$C$50/12)</f>
        <v/>
      </c>
      <c r="X28" s="65">
        <f>IF(X$3=0,0,'CAPEX'!$C$50/12)</f>
        <v/>
      </c>
      <c r="Y28" s="65">
        <f>IF(Y$3=0,0,'CAPEX'!$C$50/12)</f>
        <v/>
      </c>
      <c r="Z28" s="65">
        <f>IF(Z$3=0,0,'CAPEX'!$C$50/12)</f>
        <v/>
      </c>
      <c r="AA28" s="65">
        <f>IF(AA$3=0,0,'CAPEX'!$C$50/12)</f>
        <v/>
      </c>
      <c r="AB28" s="65">
        <f>IF(AB$3=0,0,'CAPEX'!$C$50/12)</f>
        <v/>
      </c>
      <c r="AC28" s="65">
        <f>IF(AC$3=0,0,'CAPEX'!$C$50/12)</f>
        <v/>
      </c>
      <c r="AD28" s="65">
        <f>IF(AD$3=0,0,'CAPEX'!$C$50/12)</f>
        <v/>
      </c>
      <c r="AE28" s="65">
        <f>IF(AE$3=0,0,'CAPEX'!$C$50/12)</f>
        <v/>
      </c>
      <c r="AF28" s="65">
        <f>IF(AF$3=0,0,'CAPEX'!$C$50/12)</f>
        <v/>
      </c>
      <c r="AG28" s="65">
        <f>IF(AG$3=0,0,'CAPEX'!$C$50/12)</f>
        <v/>
      </c>
      <c r="AH28" s="65">
        <f>IF(AH$3=0,0,'CAPEX'!$C$50/12)</f>
        <v/>
      </c>
      <c r="AI28" s="65">
        <f>IF(AI$3=0,0,'CAPEX'!$C$50/12)</f>
        <v/>
      </c>
      <c r="AJ28" s="65">
        <f>IF(AJ$3=0,0,'CAPEX'!$C$50/12)</f>
        <v/>
      </c>
      <c r="AK28" s="65">
        <f>IF(AK$3=0,0,'CAPEX'!$C$50/12)</f>
        <v/>
      </c>
      <c r="AL28" s="65">
        <f>IF(AL$3=0,0,'CAPEX'!$C$50/12)</f>
        <v/>
      </c>
      <c r="AM28" s="65">
        <f>IF(AM$3=0,0,'CAPEX'!$C$50/12)</f>
        <v/>
      </c>
      <c r="AN28" s="65">
        <f>IF(AN$3=0,0,'CAPEX'!$C$50/12)</f>
        <v/>
      </c>
      <c r="AO28" s="65">
        <f>IF(AO$3=0,0,'CAPEX'!$C$50/12)</f>
        <v/>
      </c>
      <c r="AP28" s="65">
        <f>IF(AP$3=0,0,'CAPEX'!$C$50/12)</f>
        <v/>
      </c>
      <c r="AQ28" s="65">
        <f>IF(AQ$3=0,0,'CAPEX'!$C$50/12)</f>
        <v/>
      </c>
      <c r="AR28" s="65">
        <f>IF(AR$3=0,0,'CAPEX'!$C$50/12)</f>
        <v/>
      </c>
      <c r="AS28" s="65">
        <f>IF(AS$3=0,0,'CAPEX'!$C$50/12)</f>
        <v/>
      </c>
      <c r="AT28" s="65">
        <f>IF(AT$3=0,0,'CAPEX'!$C$50/12)</f>
        <v/>
      </c>
      <c r="AU28" s="65">
        <f>IF(AU$3=0,0,'CAPEX'!$C$50/12)</f>
        <v/>
      </c>
      <c r="AV28" s="65">
        <f>IF(AV$3=0,0,'CAPEX'!$C$50/12)</f>
        <v/>
      </c>
      <c r="AW28" s="65">
        <f>IF(AW$3=0,0,'CAPEX'!$C$50/12)</f>
        <v/>
      </c>
      <c r="AX28" s="65">
        <f>IF(AX$3=0,0,'CAPEX'!$C$50/12)</f>
        <v/>
      </c>
      <c r="AY28" s="65">
        <f>IF(AY$3=0,0,'CAPEX'!$C$50/12)</f>
        <v/>
      </c>
      <c r="AZ28" s="65">
        <f>IF(AZ$3=0,0,'CAPEX'!$C$50/12)</f>
        <v/>
      </c>
      <c r="BA28" s="65">
        <f>IF(BA$3=0,0,'CAPEX'!$C$50/12)</f>
        <v/>
      </c>
      <c r="BB28" s="65">
        <f>IF(BB$3=0,0,'CAPEX'!$C$50/12)</f>
        <v/>
      </c>
      <c r="BC28" s="65">
        <f>IF(BC$3=0,0,'CAPEX'!$C$50/12)</f>
        <v/>
      </c>
      <c r="BD28" s="65">
        <f>IF(BD$3=0,0,'CAPEX'!$C$50/12)</f>
        <v/>
      </c>
      <c r="BE28" s="65">
        <f>IF(BE$3=0,0,'CAPEX'!$C$50/12)</f>
        <v/>
      </c>
      <c r="BF28" s="65">
        <f>IF(BF$3=0,0,'CAPEX'!$C$50/12)</f>
        <v/>
      </c>
      <c r="BG28" s="65">
        <f>IF(BG$3=0,0,'CAPEX'!$C$50/12)</f>
        <v/>
      </c>
      <c r="BH28" s="65">
        <f>IF(BH$3=0,0,'CAPEX'!$C$50/12)</f>
        <v/>
      </c>
      <c r="BI28" s="65">
        <f>IF(BI$3=0,0,'CAPEX'!$C$50/12)</f>
        <v/>
      </c>
      <c r="BJ28" s="65">
        <f>IF(BJ$3=0,0,'CAPEX'!$C$50/12)</f>
        <v/>
      </c>
      <c r="BK28" s="65">
        <f>IF(BK$3=0,0,'CAPEX'!$C$50/12)</f>
        <v/>
      </c>
      <c r="BL28" s="65">
        <f>IF(BL$3=0,0,'CAPEX'!$C$50/12)</f>
        <v/>
      </c>
      <c r="BM28" s="65">
        <f>IF(BM$3=0,0,'CAPEX'!$C$50/12)</f>
        <v/>
      </c>
      <c r="BN28" s="65">
        <f>IF(BN$3=0,0,'CAPEX'!$C$50/12)</f>
        <v/>
      </c>
      <c r="BO28" s="65">
        <f>IF(BO$3=0,0,'CAPEX'!$C$50/12)</f>
        <v/>
      </c>
      <c r="BP28" s="65">
        <f>IF(BP$3=0,0,'CAPEX'!$C$50/12)</f>
        <v/>
      </c>
      <c r="BQ28" s="65">
        <f>IF(BQ$3=0,0,'CAPEX'!$C$50/12)</f>
        <v/>
      </c>
      <c r="BR28" s="65">
        <f>IF(BR$3=0,0,'CAPEX'!$C$50/12)</f>
        <v/>
      </c>
      <c r="BS28" s="65">
        <f>IF(BS$3=0,0,'CAPEX'!$C$50/12)</f>
        <v/>
      </c>
      <c r="BT28" s="65">
        <f>IF(BT$3=0,0,'CAPEX'!$C$50/12)</f>
        <v/>
      </c>
      <c r="BU28" s="65">
        <f>IF(BU$3=0,0,'CAPEX'!$C$50/12)</f>
        <v/>
      </c>
      <c r="BV28" s="65">
        <f>IF(BV$3=0,0,'CAPEX'!$C$50/12)</f>
        <v/>
      </c>
      <c r="BW28" s="65">
        <f>IF(BW$3=0,0,'CAPEX'!$C$50/12)</f>
        <v/>
      </c>
      <c r="BX28" s="65">
        <f>IF(BX$3=0,0,'CAPEX'!$C$50/12)</f>
        <v/>
      </c>
      <c r="BY28" s="65">
        <f>IF(BY$3=0,0,'CAPEX'!$C$50/12)</f>
        <v/>
      </c>
      <c r="BZ28" s="65">
        <f>IF(BZ$3=0,0,'CAPEX'!$C$50/12)</f>
        <v/>
      </c>
      <c r="CA28" s="65">
        <f>IF(CA$3=0,0,'CAPEX'!$C$50/12)</f>
        <v/>
      </c>
      <c r="CB28" s="65">
        <f>IF(CB$3=0,0,'CAPEX'!$C$50/12)</f>
        <v/>
      </c>
      <c r="CC28" s="65">
        <f>IF(CC$3=0,0,'CAPEX'!$C$50/12)</f>
        <v/>
      </c>
      <c r="CD28" s="65">
        <f>IF(CD$3=0,0,'CAPEX'!$C$50/12)</f>
        <v/>
      </c>
      <c r="CE28" s="65">
        <f>IF(CE$3=0,0,'CAPEX'!$C$50/12)</f>
        <v/>
      </c>
      <c r="CF28" s="65">
        <f>IF(CF$3=0,0,'CAPEX'!$C$50/12)</f>
        <v/>
      </c>
      <c r="CG28" s="65">
        <f>IF(CG$3=0,0,'CAPEX'!$C$50/12)</f>
        <v/>
      </c>
      <c r="CH28" s="65">
        <f>IF(CH$3=0,0,'CAPEX'!$C$50/12)</f>
        <v/>
      </c>
      <c r="CI28" s="65">
        <f>IF(CI$3=0,0,'CAPEX'!$C$50/12)</f>
        <v/>
      </c>
      <c r="CJ28" s="65">
        <f>IF(CJ$3=0,0,'CAPEX'!$C$50/12)</f>
        <v/>
      </c>
      <c r="CK28" s="65">
        <f>IF(CK$3=0,0,'CAPEX'!$C$50/12)</f>
        <v/>
      </c>
      <c r="CL28" s="65">
        <f>IF(CL$3=0,0,'CAPEX'!$C$50/12)</f>
        <v/>
      </c>
      <c r="CM28" s="65">
        <f>IF(CM$3=0,0,'CAPEX'!$C$50/12)</f>
        <v/>
      </c>
      <c r="CN28" s="65">
        <f>IF(CN$3=0,0,'CAPEX'!$C$50/12)</f>
        <v/>
      </c>
      <c r="CO28" s="65">
        <f>IF(CO$3=0,0,'CAPEX'!$C$50/12)</f>
        <v/>
      </c>
      <c r="CP28" s="65">
        <f>IF(CP$3=0,0,'CAPEX'!$C$50/12)</f>
        <v/>
      </c>
      <c r="CQ28" s="65">
        <f>IF(CQ$3=0,0,'CAPEX'!$C$50/12)</f>
        <v/>
      </c>
      <c r="CR28" s="65">
        <f>IF(CR$3=0,0,'CAPEX'!$C$50/12)</f>
        <v/>
      </c>
      <c r="CS28" s="65">
        <f>IF(CS$3=0,0,'CAPEX'!$C$50/12)</f>
        <v/>
      </c>
      <c r="CT28" s="65">
        <f>IF(CT$3=0,0,'CAPEX'!$C$50/12)</f>
        <v/>
      </c>
      <c r="CU28" s="65">
        <f>IF(CU$3=0,0,'CAPEX'!$C$50/12)</f>
        <v/>
      </c>
      <c r="CV28" s="65">
        <f>IF(CV$3=0,0,'CAPEX'!$C$50/12)</f>
        <v/>
      </c>
      <c r="CW28" s="65">
        <f>IF(CW$3=0,0,'CAPEX'!$C$50/12)</f>
        <v/>
      </c>
      <c r="CX28" s="65">
        <f>IF(CX$3=0,0,'CAPEX'!$C$50/12)</f>
        <v/>
      </c>
      <c r="CY28" s="65">
        <f>IF(CY$3=0,0,'CAPEX'!$C$50/12)</f>
        <v/>
      </c>
      <c r="CZ28" s="65">
        <f>IF(CZ$3=0,0,'CAPEX'!$C$50/12)</f>
        <v/>
      </c>
      <c r="DA28" s="65">
        <f>IF(DA$3=0,0,'CAPEX'!$C$50/12)</f>
        <v/>
      </c>
      <c r="DB28" s="65">
        <f>IF(DB$3=0,0,'CAPEX'!$C$50/12)</f>
        <v/>
      </c>
      <c r="DC28" s="65">
        <f>IF(DC$3=0,0,'CAPEX'!$C$50/12)</f>
        <v/>
      </c>
      <c r="DD28" s="65">
        <f>IF(DD$3=0,0,'CAPEX'!$C$50/12)</f>
        <v/>
      </c>
      <c r="DE28" s="65">
        <f>IF(DE$3=0,0,'CAPEX'!$C$50/12)</f>
        <v/>
      </c>
      <c r="DF28" s="65">
        <f>IF(DF$3=0,0,'CAPEX'!$C$50/12)</f>
        <v/>
      </c>
      <c r="DG28" s="65">
        <f>IF(DG$3=0,0,'CAPEX'!$C$50/12)</f>
        <v/>
      </c>
      <c r="DH28" s="65">
        <f>IF(DH$3=0,0,'CAPEX'!$C$50/12)</f>
        <v/>
      </c>
      <c r="DI28" s="65">
        <f>IF(DI$3=0,0,'CAPEX'!$C$50/12)</f>
        <v/>
      </c>
      <c r="DJ28" s="65">
        <f>IF(DJ$3=0,0,'CAPEX'!$C$50/12)</f>
        <v/>
      </c>
      <c r="DK28" s="65">
        <f>IF(DK$3=0,0,'CAPEX'!$C$50/12)</f>
        <v/>
      </c>
      <c r="DL28" s="65">
        <f>IF(DL$3=0,0,'CAPEX'!$C$50/12)</f>
        <v/>
      </c>
      <c r="DM28" s="65">
        <f>IF(DM$3=0,0,'CAPEX'!$C$50/12)</f>
        <v/>
      </c>
      <c r="DN28" s="65">
        <f>IF(DN$3=0,0,'CAPEX'!$C$50/12)</f>
        <v/>
      </c>
      <c r="DO28" s="65">
        <f>IF(DO$3=0,0,'CAPEX'!$C$50/12)</f>
        <v/>
      </c>
      <c r="DP28" s="65">
        <f>IF(DP$3=0,0,'CAPEX'!$C$50/12)</f>
        <v/>
      </c>
      <c r="DQ28" s="65">
        <f>IF(DQ$3=0,0,'CAPEX'!$C$50/12)</f>
        <v/>
      </c>
      <c r="DR28" s="65">
        <f>IF(DR$3=0,0,'CAPEX'!$C$50/12)</f>
        <v/>
      </c>
      <c r="DS28" s="65">
        <f>IF(DS$3=0,0,'CAPEX'!$C$50/12)</f>
        <v/>
      </c>
    </row>
    <row r="29">
      <c r="B29" s="34" t="inlineStr">
        <is>
          <t>EBIT (الربح قبل الضريبة)</t>
        </is>
      </c>
      <c r="C29" s="66">
        <f>C27-C28</f>
        <v/>
      </c>
      <c r="D29" s="66">
        <f>D27-D28</f>
        <v/>
      </c>
      <c r="E29" s="66">
        <f>E27-E28</f>
        <v/>
      </c>
      <c r="F29" s="66">
        <f>F27-F28</f>
        <v/>
      </c>
      <c r="G29" s="66">
        <f>G27-G28</f>
        <v/>
      </c>
      <c r="H29" s="66">
        <f>H27-H28</f>
        <v/>
      </c>
      <c r="I29" s="66">
        <f>I27-I28</f>
        <v/>
      </c>
      <c r="J29" s="66">
        <f>J27-J28</f>
        <v/>
      </c>
      <c r="K29" s="66">
        <f>K27-K28</f>
        <v/>
      </c>
      <c r="L29" s="66">
        <f>L27-L28</f>
        <v/>
      </c>
      <c r="M29" s="66">
        <f>M27-M28</f>
        <v/>
      </c>
      <c r="N29" s="66">
        <f>N27-N28</f>
        <v/>
      </c>
      <c r="O29" s="66">
        <f>O27-O28</f>
        <v/>
      </c>
      <c r="P29" s="66">
        <f>P27-P28</f>
        <v/>
      </c>
      <c r="Q29" s="66">
        <f>Q27-Q28</f>
        <v/>
      </c>
      <c r="R29" s="66">
        <f>R27-R28</f>
        <v/>
      </c>
      <c r="S29" s="66">
        <f>S27-S28</f>
        <v/>
      </c>
      <c r="T29" s="66">
        <f>T27-T28</f>
        <v/>
      </c>
      <c r="U29" s="66">
        <f>U27-U28</f>
        <v/>
      </c>
      <c r="V29" s="66">
        <f>V27-V28</f>
        <v/>
      </c>
      <c r="W29" s="66">
        <f>W27-W28</f>
        <v/>
      </c>
      <c r="X29" s="66">
        <f>X27-X28</f>
        <v/>
      </c>
      <c r="Y29" s="66">
        <f>Y27-Y28</f>
        <v/>
      </c>
      <c r="Z29" s="66">
        <f>Z27-Z28</f>
        <v/>
      </c>
      <c r="AA29" s="66">
        <f>AA27-AA28</f>
        <v/>
      </c>
      <c r="AB29" s="66">
        <f>AB27-AB28</f>
        <v/>
      </c>
      <c r="AC29" s="66">
        <f>AC27-AC28</f>
        <v/>
      </c>
      <c r="AD29" s="66">
        <f>AD27-AD28</f>
        <v/>
      </c>
      <c r="AE29" s="66">
        <f>AE27-AE28</f>
        <v/>
      </c>
      <c r="AF29" s="66">
        <f>AF27-AF28</f>
        <v/>
      </c>
      <c r="AG29" s="66">
        <f>AG27-AG28</f>
        <v/>
      </c>
      <c r="AH29" s="66">
        <f>AH27-AH28</f>
        <v/>
      </c>
      <c r="AI29" s="66">
        <f>AI27-AI28</f>
        <v/>
      </c>
      <c r="AJ29" s="66">
        <f>AJ27-AJ28</f>
        <v/>
      </c>
      <c r="AK29" s="66">
        <f>AK27-AK28</f>
        <v/>
      </c>
      <c r="AL29" s="66">
        <f>AL27-AL28</f>
        <v/>
      </c>
      <c r="AM29" s="66">
        <f>AM27-AM28</f>
        <v/>
      </c>
      <c r="AN29" s="66">
        <f>AN27-AN28</f>
        <v/>
      </c>
      <c r="AO29" s="66">
        <f>AO27-AO28</f>
        <v/>
      </c>
      <c r="AP29" s="66">
        <f>AP27-AP28</f>
        <v/>
      </c>
      <c r="AQ29" s="66">
        <f>AQ27-AQ28</f>
        <v/>
      </c>
      <c r="AR29" s="66">
        <f>AR27-AR28</f>
        <v/>
      </c>
      <c r="AS29" s="66">
        <f>AS27-AS28</f>
        <v/>
      </c>
      <c r="AT29" s="66">
        <f>AT27-AT28</f>
        <v/>
      </c>
      <c r="AU29" s="66">
        <f>AU27-AU28</f>
        <v/>
      </c>
      <c r="AV29" s="66">
        <f>AV27-AV28</f>
        <v/>
      </c>
      <c r="AW29" s="66">
        <f>AW27-AW28</f>
        <v/>
      </c>
      <c r="AX29" s="66">
        <f>AX27-AX28</f>
        <v/>
      </c>
      <c r="AY29" s="66">
        <f>AY27-AY28</f>
        <v/>
      </c>
      <c r="AZ29" s="66">
        <f>AZ27-AZ28</f>
        <v/>
      </c>
      <c r="BA29" s="66">
        <f>BA27-BA28</f>
        <v/>
      </c>
      <c r="BB29" s="66">
        <f>BB27-BB28</f>
        <v/>
      </c>
      <c r="BC29" s="66">
        <f>BC27-BC28</f>
        <v/>
      </c>
      <c r="BD29" s="66">
        <f>BD27-BD28</f>
        <v/>
      </c>
      <c r="BE29" s="66">
        <f>BE27-BE28</f>
        <v/>
      </c>
      <c r="BF29" s="66">
        <f>BF27-BF28</f>
        <v/>
      </c>
      <c r="BG29" s="66">
        <f>BG27-BG28</f>
        <v/>
      </c>
      <c r="BH29" s="66">
        <f>BH27-BH28</f>
        <v/>
      </c>
      <c r="BI29" s="66">
        <f>BI27-BI28</f>
        <v/>
      </c>
      <c r="BJ29" s="66">
        <f>BJ27-BJ28</f>
        <v/>
      </c>
      <c r="BK29" s="66">
        <f>BK27-BK28</f>
        <v/>
      </c>
      <c r="BL29" s="66">
        <f>BL27-BL28</f>
        <v/>
      </c>
      <c r="BM29" s="66">
        <f>BM27-BM28</f>
        <v/>
      </c>
      <c r="BN29" s="66">
        <f>BN27-BN28</f>
        <v/>
      </c>
      <c r="BO29" s="66">
        <f>BO27-BO28</f>
        <v/>
      </c>
      <c r="BP29" s="66">
        <f>BP27-BP28</f>
        <v/>
      </c>
      <c r="BQ29" s="66">
        <f>BQ27-BQ28</f>
        <v/>
      </c>
      <c r="BR29" s="66">
        <f>BR27-BR28</f>
        <v/>
      </c>
      <c r="BS29" s="66">
        <f>BS27-BS28</f>
        <v/>
      </c>
      <c r="BT29" s="66">
        <f>BT27-BT28</f>
        <v/>
      </c>
      <c r="BU29" s="66">
        <f>BU27-BU28</f>
        <v/>
      </c>
      <c r="BV29" s="66">
        <f>BV27-BV28</f>
        <v/>
      </c>
      <c r="BW29" s="66">
        <f>BW27-BW28</f>
        <v/>
      </c>
      <c r="BX29" s="66">
        <f>BX27-BX28</f>
        <v/>
      </c>
      <c r="BY29" s="66">
        <f>BY27-BY28</f>
        <v/>
      </c>
      <c r="BZ29" s="66">
        <f>BZ27-BZ28</f>
        <v/>
      </c>
      <c r="CA29" s="66">
        <f>CA27-CA28</f>
        <v/>
      </c>
      <c r="CB29" s="66">
        <f>CB27-CB28</f>
        <v/>
      </c>
      <c r="CC29" s="66">
        <f>CC27-CC28</f>
        <v/>
      </c>
      <c r="CD29" s="66">
        <f>CD27-CD28</f>
        <v/>
      </c>
      <c r="CE29" s="66">
        <f>CE27-CE28</f>
        <v/>
      </c>
      <c r="CF29" s="66">
        <f>CF27-CF28</f>
        <v/>
      </c>
      <c r="CG29" s="66">
        <f>CG27-CG28</f>
        <v/>
      </c>
      <c r="CH29" s="66">
        <f>CH27-CH28</f>
        <v/>
      </c>
      <c r="CI29" s="66">
        <f>CI27-CI28</f>
        <v/>
      </c>
      <c r="CJ29" s="66">
        <f>CJ27-CJ28</f>
        <v/>
      </c>
      <c r="CK29" s="66">
        <f>CK27-CK28</f>
        <v/>
      </c>
      <c r="CL29" s="66">
        <f>CL27-CL28</f>
        <v/>
      </c>
      <c r="CM29" s="66">
        <f>CM27-CM28</f>
        <v/>
      </c>
      <c r="CN29" s="66">
        <f>CN27-CN28</f>
        <v/>
      </c>
      <c r="CO29" s="66">
        <f>CO27-CO28</f>
        <v/>
      </c>
      <c r="CP29" s="66">
        <f>CP27-CP28</f>
        <v/>
      </c>
      <c r="CQ29" s="66">
        <f>CQ27-CQ28</f>
        <v/>
      </c>
      <c r="CR29" s="66">
        <f>CR27-CR28</f>
        <v/>
      </c>
      <c r="CS29" s="66">
        <f>CS27-CS28</f>
        <v/>
      </c>
      <c r="CT29" s="66">
        <f>CT27-CT28</f>
        <v/>
      </c>
      <c r="CU29" s="66">
        <f>CU27-CU28</f>
        <v/>
      </c>
      <c r="CV29" s="66">
        <f>CV27-CV28</f>
        <v/>
      </c>
      <c r="CW29" s="66">
        <f>CW27-CW28</f>
        <v/>
      </c>
      <c r="CX29" s="66">
        <f>CX27-CX28</f>
        <v/>
      </c>
      <c r="CY29" s="66">
        <f>CY27-CY28</f>
        <v/>
      </c>
      <c r="CZ29" s="66">
        <f>CZ27-CZ28</f>
        <v/>
      </c>
      <c r="DA29" s="66">
        <f>DA27-DA28</f>
        <v/>
      </c>
      <c r="DB29" s="66">
        <f>DB27-DB28</f>
        <v/>
      </c>
      <c r="DC29" s="66">
        <f>DC27-DC28</f>
        <v/>
      </c>
      <c r="DD29" s="66">
        <f>DD27-DD28</f>
        <v/>
      </c>
      <c r="DE29" s="66">
        <f>DE27-DE28</f>
        <v/>
      </c>
      <c r="DF29" s="66">
        <f>DF27-DF28</f>
        <v/>
      </c>
      <c r="DG29" s="66">
        <f>DG27-DG28</f>
        <v/>
      </c>
      <c r="DH29" s="66">
        <f>DH27-DH28</f>
        <v/>
      </c>
      <c r="DI29" s="66">
        <f>DI27-DI28</f>
        <v/>
      </c>
      <c r="DJ29" s="66">
        <f>DJ27-DJ28</f>
        <v/>
      </c>
      <c r="DK29" s="66">
        <f>DK27-DK28</f>
        <v/>
      </c>
      <c r="DL29" s="66">
        <f>DL27-DL28</f>
        <v/>
      </c>
      <c r="DM29" s="66">
        <f>DM27-DM28</f>
        <v/>
      </c>
      <c r="DN29" s="66">
        <f>DN27-DN28</f>
        <v/>
      </c>
      <c r="DO29" s="66">
        <f>DO27-DO28</f>
        <v/>
      </c>
      <c r="DP29" s="66">
        <f>DP27-DP28</f>
        <v/>
      </c>
      <c r="DQ29" s="66">
        <f>DQ27-DQ28</f>
        <v/>
      </c>
      <c r="DR29" s="66">
        <f>DR27-DR28</f>
        <v/>
      </c>
      <c r="DS29" s="66">
        <f>DS27-DS28</f>
        <v/>
      </c>
    </row>
    <row r="30">
      <c r="B30" s="22" t="inlineStr">
        <is>
          <t>رصيد الخسائر المُدوَّرة (نهاية الشهر)</t>
        </is>
      </c>
      <c r="C30" s="65">
        <f>0</f>
        <v/>
      </c>
      <c r="D30" s="65">
        <f>MAX(0,C30-MAX(0,D29))</f>
        <v/>
      </c>
      <c r="E30" s="65">
        <f>MAX(0,D30-MAX(0,E29))</f>
        <v/>
      </c>
      <c r="F30" s="65">
        <f>MAX(0,E30-MAX(0,F29))</f>
        <v/>
      </c>
      <c r="G30" s="65">
        <f>MAX(0,F30-MAX(0,G29))</f>
        <v/>
      </c>
      <c r="H30" s="65">
        <f>MAX(0,G30-MAX(0,H29))</f>
        <v/>
      </c>
      <c r="I30" s="65">
        <f>MAX(0,H30-MAX(0,I29))</f>
        <v/>
      </c>
      <c r="J30" s="65">
        <f>MAX(0,I30-MAX(0,J29))</f>
        <v/>
      </c>
      <c r="K30" s="65">
        <f>MAX(0,J30-MAX(0,K29))</f>
        <v/>
      </c>
      <c r="L30" s="65">
        <f>MAX(0,K30-MAX(0,L29))</f>
        <v/>
      </c>
      <c r="M30" s="65">
        <f>MAX(0,L30-MAX(0,M29))</f>
        <v/>
      </c>
      <c r="N30" s="65">
        <f>MAX(0,M30-MAX(0,N29))</f>
        <v/>
      </c>
      <c r="O30" s="65">
        <f>MAX(0,N30-MAX(0,O29))</f>
        <v/>
      </c>
      <c r="P30" s="65">
        <f>MAX(0,O30-MAX(0,P29))</f>
        <v/>
      </c>
      <c r="Q30" s="65">
        <f>MAX(0,P30-MAX(0,Q29))</f>
        <v/>
      </c>
      <c r="R30" s="65">
        <f>MAX(0,Q30-MAX(0,R29))</f>
        <v/>
      </c>
      <c r="S30" s="65">
        <f>MAX(0,R30-MAX(0,S29))</f>
        <v/>
      </c>
      <c r="T30" s="65">
        <f>MAX(0,S30-MAX(0,T29))</f>
        <v/>
      </c>
      <c r="U30" s="65">
        <f>MAX(0,T30-MAX(0,U29))</f>
        <v/>
      </c>
      <c r="V30" s="65">
        <f>MAX(0,U30-MAX(0,V29))</f>
        <v/>
      </c>
      <c r="W30" s="65">
        <f>MAX(0,V30-MAX(0,W29))</f>
        <v/>
      </c>
      <c r="X30" s="65">
        <f>MAX(0,W30-MAX(0,X29))</f>
        <v/>
      </c>
      <c r="Y30" s="65">
        <f>MAX(0,X30-MAX(0,Y29))</f>
        <v/>
      </c>
      <c r="Z30" s="65">
        <f>MAX(0,Y30-MAX(0,Z29))</f>
        <v/>
      </c>
      <c r="AA30" s="65">
        <f>MAX(0,Z30-MAX(0,AA29))</f>
        <v/>
      </c>
      <c r="AB30" s="65">
        <f>MAX(0,AA30-MAX(0,AB29))</f>
        <v/>
      </c>
      <c r="AC30" s="65">
        <f>MAX(0,AB30-MAX(0,AC29))</f>
        <v/>
      </c>
      <c r="AD30" s="65">
        <f>MAX(0,AC30-MAX(0,AD29))</f>
        <v/>
      </c>
      <c r="AE30" s="65">
        <f>MAX(0,AD30-MAX(0,AE29))</f>
        <v/>
      </c>
      <c r="AF30" s="65">
        <f>MAX(0,AE30-MAX(0,AF29))</f>
        <v/>
      </c>
      <c r="AG30" s="65">
        <f>MAX(0,AF30-MAX(0,AG29))</f>
        <v/>
      </c>
      <c r="AH30" s="65">
        <f>MAX(0,AG30-MAX(0,AH29))</f>
        <v/>
      </c>
      <c r="AI30" s="65">
        <f>MAX(0,AH30-MAX(0,AI29))</f>
        <v/>
      </c>
      <c r="AJ30" s="65">
        <f>MAX(0,AI30-MAX(0,AJ29))</f>
        <v/>
      </c>
      <c r="AK30" s="65">
        <f>MAX(0,AJ30-MAX(0,AK29))</f>
        <v/>
      </c>
      <c r="AL30" s="65">
        <f>MAX(0,AK30-MAX(0,AL29))</f>
        <v/>
      </c>
      <c r="AM30" s="65">
        <f>MAX(0,AL30-MAX(0,AM29))</f>
        <v/>
      </c>
      <c r="AN30" s="65">
        <f>MAX(0,AM30-MAX(0,AN29))</f>
        <v/>
      </c>
      <c r="AO30" s="65">
        <f>MAX(0,AN30-MAX(0,AO29))</f>
        <v/>
      </c>
      <c r="AP30" s="65">
        <f>MAX(0,AO30-MAX(0,AP29))</f>
        <v/>
      </c>
      <c r="AQ30" s="65">
        <f>MAX(0,AP30-MAX(0,AQ29))</f>
        <v/>
      </c>
      <c r="AR30" s="65">
        <f>MAX(0,AQ30-MAX(0,AR29))</f>
        <v/>
      </c>
      <c r="AS30" s="65">
        <f>MAX(0,AR30-MAX(0,AS29))</f>
        <v/>
      </c>
      <c r="AT30" s="65">
        <f>MAX(0,AS30-MAX(0,AT29))</f>
        <v/>
      </c>
      <c r="AU30" s="65">
        <f>MAX(0,AT30-MAX(0,AU29))</f>
        <v/>
      </c>
      <c r="AV30" s="65">
        <f>MAX(0,AU30-MAX(0,AV29))</f>
        <v/>
      </c>
      <c r="AW30" s="65">
        <f>MAX(0,AV30-MAX(0,AW29))</f>
        <v/>
      </c>
      <c r="AX30" s="65">
        <f>MAX(0,AW30-MAX(0,AX29))</f>
        <v/>
      </c>
      <c r="AY30" s="65">
        <f>MAX(0,AX30-MAX(0,AY29))</f>
        <v/>
      </c>
      <c r="AZ30" s="65">
        <f>MAX(0,AY30-MAX(0,AZ29))</f>
        <v/>
      </c>
      <c r="BA30" s="65">
        <f>MAX(0,AZ30-MAX(0,BA29))</f>
        <v/>
      </c>
      <c r="BB30" s="65">
        <f>MAX(0,BA30-MAX(0,BB29))</f>
        <v/>
      </c>
      <c r="BC30" s="65">
        <f>MAX(0,BB30-MAX(0,BC29))</f>
        <v/>
      </c>
      <c r="BD30" s="65">
        <f>MAX(0,BC30-MAX(0,BD29))</f>
        <v/>
      </c>
      <c r="BE30" s="65">
        <f>MAX(0,BD30-MAX(0,BE29))</f>
        <v/>
      </c>
      <c r="BF30" s="65">
        <f>MAX(0,BE30-MAX(0,BF29))</f>
        <v/>
      </c>
      <c r="BG30" s="65">
        <f>MAX(0,BF30-MAX(0,BG29))</f>
        <v/>
      </c>
      <c r="BH30" s="65">
        <f>MAX(0,BG30-MAX(0,BH29))</f>
        <v/>
      </c>
      <c r="BI30" s="65">
        <f>MAX(0,BH30-MAX(0,BI29))</f>
        <v/>
      </c>
      <c r="BJ30" s="65">
        <f>MAX(0,BI30-MAX(0,BJ29))</f>
        <v/>
      </c>
      <c r="BK30" s="65">
        <f>MAX(0,BJ30-MAX(0,BK29))</f>
        <v/>
      </c>
      <c r="BL30" s="65">
        <f>MAX(0,BK30-MAX(0,BL29))</f>
        <v/>
      </c>
      <c r="BM30" s="65">
        <f>MAX(0,BL30-MAX(0,BM29))</f>
        <v/>
      </c>
      <c r="BN30" s="65">
        <f>MAX(0,BM30-MAX(0,BN29))</f>
        <v/>
      </c>
      <c r="BO30" s="65">
        <f>MAX(0,BN30-MAX(0,BO29))</f>
        <v/>
      </c>
      <c r="BP30" s="65">
        <f>MAX(0,BO30-MAX(0,BP29))</f>
        <v/>
      </c>
      <c r="BQ30" s="65">
        <f>MAX(0,BP30-MAX(0,BQ29))</f>
        <v/>
      </c>
      <c r="BR30" s="65">
        <f>MAX(0,BQ30-MAX(0,BR29))</f>
        <v/>
      </c>
      <c r="BS30" s="65">
        <f>MAX(0,BR30-MAX(0,BS29))</f>
        <v/>
      </c>
      <c r="BT30" s="65">
        <f>MAX(0,BS30-MAX(0,BT29))</f>
        <v/>
      </c>
      <c r="BU30" s="65">
        <f>MAX(0,BT30-MAX(0,BU29))</f>
        <v/>
      </c>
      <c r="BV30" s="65">
        <f>MAX(0,BU30-MAX(0,BV29))</f>
        <v/>
      </c>
      <c r="BW30" s="65">
        <f>MAX(0,BV30-MAX(0,BW29))</f>
        <v/>
      </c>
      <c r="BX30" s="65">
        <f>MAX(0,BW30-MAX(0,BX29))</f>
        <v/>
      </c>
      <c r="BY30" s="65">
        <f>MAX(0,BX30-MAX(0,BY29))</f>
        <v/>
      </c>
      <c r="BZ30" s="65">
        <f>MAX(0,BY30-MAX(0,BZ29))</f>
        <v/>
      </c>
      <c r="CA30" s="65">
        <f>MAX(0,BZ30-MAX(0,CA29))</f>
        <v/>
      </c>
      <c r="CB30" s="65">
        <f>MAX(0,CA30-MAX(0,CB29))</f>
        <v/>
      </c>
      <c r="CC30" s="65">
        <f>MAX(0,CB30-MAX(0,CC29))</f>
        <v/>
      </c>
      <c r="CD30" s="65">
        <f>MAX(0,CC30-MAX(0,CD29))</f>
        <v/>
      </c>
      <c r="CE30" s="65">
        <f>MAX(0,CD30-MAX(0,CE29))</f>
        <v/>
      </c>
      <c r="CF30" s="65">
        <f>MAX(0,CE30-MAX(0,CF29))</f>
        <v/>
      </c>
      <c r="CG30" s="65">
        <f>MAX(0,CF30-MAX(0,CG29))</f>
        <v/>
      </c>
      <c r="CH30" s="65">
        <f>MAX(0,CG30-MAX(0,CH29))</f>
        <v/>
      </c>
      <c r="CI30" s="65">
        <f>MAX(0,CH30-MAX(0,CI29))</f>
        <v/>
      </c>
      <c r="CJ30" s="65">
        <f>MAX(0,CI30-MAX(0,CJ29))</f>
        <v/>
      </c>
      <c r="CK30" s="65">
        <f>MAX(0,CJ30-MAX(0,CK29))</f>
        <v/>
      </c>
      <c r="CL30" s="65">
        <f>MAX(0,CK30-MAX(0,CL29))</f>
        <v/>
      </c>
      <c r="CM30" s="65">
        <f>MAX(0,CL30-MAX(0,CM29))</f>
        <v/>
      </c>
      <c r="CN30" s="65">
        <f>MAX(0,CM30-MAX(0,CN29))</f>
        <v/>
      </c>
      <c r="CO30" s="65">
        <f>MAX(0,CN30-MAX(0,CO29))</f>
        <v/>
      </c>
      <c r="CP30" s="65">
        <f>MAX(0,CO30-MAX(0,CP29))</f>
        <v/>
      </c>
      <c r="CQ30" s="65">
        <f>MAX(0,CP30-MAX(0,CQ29))</f>
        <v/>
      </c>
      <c r="CR30" s="65">
        <f>MAX(0,CQ30-MAX(0,CR29))</f>
        <v/>
      </c>
      <c r="CS30" s="65">
        <f>MAX(0,CR30-MAX(0,CS29))</f>
        <v/>
      </c>
      <c r="CT30" s="65">
        <f>MAX(0,CS30-MAX(0,CT29))</f>
        <v/>
      </c>
      <c r="CU30" s="65">
        <f>MAX(0,CT30-MAX(0,CU29))</f>
        <v/>
      </c>
      <c r="CV30" s="65">
        <f>MAX(0,CU30-MAX(0,CV29))</f>
        <v/>
      </c>
      <c r="CW30" s="65">
        <f>MAX(0,CV30-MAX(0,CW29))</f>
        <v/>
      </c>
      <c r="CX30" s="65">
        <f>MAX(0,CW30-MAX(0,CX29))</f>
        <v/>
      </c>
      <c r="CY30" s="65">
        <f>MAX(0,CX30-MAX(0,CY29))</f>
        <v/>
      </c>
      <c r="CZ30" s="65">
        <f>MAX(0,CY30-MAX(0,CZ29))</f>
        <v/>
      </c>
      <c r="DA30" s="65">
        <f>MAX(0,CZ30-MAX(0,DA29))</f>
        <v/>
      </c>
      <c r="DB30" s="65">
        <f>MAX(0,DA30-MAX(0,DB29))</f>
        <v/>
      </c>
      <c r="DC30" s="65">
        <f>MAX(0,DB30-MAX(0,DC29))</f>
        <v/>
      </c>
      <c r="DD30" s="65">
        <f>MAX(0,DC30-MAX(0,DD29))</f>
        <v/>
      </c>
      <c r="DE30" s="65">
        <f>MAX(0,DD30-MAX(0,DE29))</f>
        <v/>
      </c>
      <c r="DF30" s="65">
        <f>MAX(0,DE30-MAX(0,DF29))</f>
        <v/>
      </c>
      <c r="DG30" s="65">
        <f>MAX(0,DF30-MAX(0,DG29))</f>
        <v/>
      </c>
      <c r="DH30" s="65">
        <f>MAX(0,DG30-MAX(0,DH29))</f>
        <v/>
      </c>
      <c r="DI30" s="65">
        <f>MAX(0,DH30-MAX(0,DI29))</f>
        <v/>
      </c>
      <c r="DJ30" s="65">
        <f>MAX(0,DI30-MAX(0,DJ29))</f>
        <v/>
      </c>
      <c r="DK30" s="65">
        <f>MAX(0,DJ30-MAX(0,DK29))</f>
        <v/>
      </c>
      <c r="DL30" s="65">
        <f>MAX(0,DK30-MAX(0,DL29))</f>
        <v/>
      </c>
      <c r="DM30" s="65">
        <f>MAX(0,DL30-MAX(0,DM29))</f>
        <v/>
      </c>
      <c r="DN30" s="65">
        <f>MAX(0,DM30-MAX(0,DN29))</f>
        <v/>
      </c>
      <c r="DO30" s="65">
        <f>MAX(0,DN30-MAX(0,DO29))</f>
        <v/>
      </c>
      <c r="DP30" s="65">
        <f>MAX(0,DO30-MAX(0,DP29))</f>
        <v/>
      </c>
      <c r="DQ30" s="65">
        <f>MAX(0,DP30-MAX(0,DQ29))</f>
        <v/>
      </c>
      <c r="DR30" s="65">
        <f>MAX(0,DQ30-MAX(0,DR29))</f>
        <v/>
      </c>
      <c r="DS30" s="65">
        <f>MAX(0,DR30-MAX(0,DS29))</f>
        <v/>
      </c>
    </row>
    <row r="31">
      <c r="B31" s="22" t="inlineStr">
        <is>
          <t>الوعاء الضريبي</t>
        </is>
      </c>
      <c r="C31" s="65">
        <f>0</f>
        <v/>
      </c>
      <c r="D31" s="65">
        <f>MAX(0,D29-C30)</f>
        <v/>
      </c>
      <c r="E31" s="65">
        <f>MAX(0,E29-D30)</f>
        <v/>
      </c>
      <c r="F31" s="65">
        <f>MAX(0,F29-E30)</f>
        <v/>
      </c>
      <c r="G31" s="65">
        <f>MAX(0,G29-F30)</f>
        <v/>
      </c>
      <c r="H31" s="65">
        <f>MAX(0,H29-G30)</f>
        <v/>
      </c>
      <c r="I31" s="65">
        <f>MAX(0,I29-H30)</f>
        <v/>
      </c>
      <c r="J31" s="65">
        <f>MAX(0,J29-I30)</f>
        <v/>
      </c>
      <c r="K31" s="65">
        <f>MAX(0,K29-J30)</f>
        <v/>
      </c>
      <c r="L31" s="65">
        <f>MAX(0,L29-K30)</f>
        <v/>
      </c>
      <c r="M31" s="65">
        <f>MAX(0,M29-L30)</f>
        <v/>
      </c>
      <c r="N31" s="65">
        <f>MAX(0,N29-M30)</f>
        <v/>
      </c>
      <c r="O31" s="65">
        <f>MAX(0,O29-N30)</f>
        <v/>
      </c>
      <c r="P31" s="65">
        <f>MAX(0,P29-O30)</f>
        <v/>
      </c>
      <c r="Q31" s="65">
        <f>MAX(0,Q29-P30)</f>
        <v/>
      </c>
      <c r="R31" s="65">
        <f>MAX(0,R29-Q30)</f>
        <v/>
      </c>
      <c r="S31" s="65">
        <f>MAX(0,S29-R30)</f>
        <v/>
      </c>
      <c r="T31" s="65">
        <f>MAX(0,T29-S30)</f>
        <v/>
      </c>
      <c r="U31" s="65">
        <f>MAX(0,U29-T30)</f>
        <v/>
      </c>
      <c r="V31" s="65">
        <f>MAX(0,V29-U30)</f>
        <v/>
      </c>
      <c r="W31" s="65">
        <f>MAX(0,W29-V30)</f>
        <v/>
      </c>
      <c r="X31" s="65">
        <f>MAX(0,X29-W30)</f>
        <v/>
      </c>
      <c r="Y31" s="65">
        <f>MAX(0,Y29-X30)</f>
        <v/>
      </c>
      <c r="Z31" s="65">
        <f>MAX(0,Z29-Y30)</f>
        <v/>
      </c>
      <c r="AA31" s="65">
        <f>MAX(0,AA29-Z30)</f>
        <v/>
      </c>
      <c r="AB31" s="65">
        <f>MAX(0,AB29-AA30)</f>
        <v/>
      </c>
      <c r="AC31" s="65">
        <f>MAX(0,AC29-AB30)</f>
        <v/>
      </c>
      <c r="AD31" s="65">
        <f>MAX(0,AD29-AC30)</f>
        <v/>
      </c>
      <c r="AE31" s="65">
        <f>MAX(0,AE29-AD30)</f>
        <v/>
      </c>
      <c r="AF31" s="65">
        <f>MAX(0,AF29-AE30)</f>
        <v/>
      </c>
      <c r="AG31" s="65">
        <f>MAX(0,AG29-AF30)</f>
        <v/>
      </c>
      <c r="AH31" s="65">
        <f>MAX(0,AH29-AG30)</f>
        <v/>
      </c>
      <c r="AI31" s="65">
        <f>MAX(0,AI29-AH30)</f>
        <v/>
      </c>
      <c r="AJ31" s="65">
        <f>MAX(0,AJ29-AI30)</f>
        <v/>
      </c>
      <c r="AK31" s="65">
        <f>MAX(0,AK29-AJ30)</f>
        <v/>
      </c>
      <c r="AL31" s="65">
        <f>MAX(0,AL29-AK30)</f>
        <v/>
      </c>
      <c r="AM31" s="65">
        <f>MAX(0,AM29-AL30)</f>
        <v/>
      </c>
      <c r="AN31" s="65">
        <f>MAX(0,AN29-AM30)</f>
        <v/>
      </c>
      <c r="AO31" s="65">
        <f>MAX(0,AO29-AN30)</f>
        <v/>
      </c>
      <c r="AP31" s="65">
        <f>MAX(0,AP29-AO30)</f>
        <v/>
      </c>
      <c r="AQ31" s="65">
        <f>MAX(0,AQ29-AP30)</f>
        <v/>
      </c>
      <c r="AR31" s="65">
        <f>MAX(0,AR29-AQ30)</f>
        <v/>
      </c>
      <c r="AS31" s="65">
        <f>MAX(0,AS29-AR30)</f>
        <v/>
      </c>
      <c r="AT31" s="65">
        <f>MAX(0,AT29-AS30)</f>
        <v/>
      </c>
      <c r="AU31" s="65">
        <f>MAX(0,AU29-AT30)</f>
        <v/>
      </c>
      <c r="AV31" s="65">
        <f>MAX(0,AV29-AU30)</f>
        <v/>
      </c>
      <c r="AW31" s="65">
        <f>MAX(0,AW29-AV30)</f>
        <v/>
      </c>
      <c r="AX31" s="65">
        <f>MAX(0,AX29-AW30)</f>
        <v/>
      </c>
      <c r="AY31" s="65">
        <f>MAX(0,AY29-AX30)</f>
        <v/>
      </c>
      <c r="AZ31" s="65">
        <f>MAX(0,AZ29-AY30)</f>
        <v/>
      </c>
      <c r="BA31" s="65">
        <f>MAX(0,BA29-AZ30)</f>
        <v/>
      </c>
      <c r="BB31" s="65">
        <f>MAX(0,BB29-BA30)</f>
        <v/>
      </c>
      <c r="BC31" s="65">
        <f>MAX(0,BC29-BB30)</f>
        <v/>
      </c>
      <c r="BD31" s="65">
        <f>MAX(0,BD29-BC30)</f>
        <v/>
      </c>
      <c r="BE31" s="65">
        <f>MAX(0,BE29-BD30)</f>
        <v/>
      </c>
      <c r="BF31" s="65">
        <f>MAX(0,BF29-BE30)</f>
        <v/>
      </c>
      <c r="BG31" s="65">
        <f>MAX(0,BG29-BF30)</f>
        <v/>
      </c>
      <c r="BH31" s="65">
        <f>MAX(0,BH29-BG30)</f>
        <v/>
      </c>
      <c r="BI31" s="65">
        <f>MAX(0,BI29-BH30)</f>
        <v/>
      </c>
      <c r="BJ31" s="65">
        <f>MAX(0,BJ29-BI30)</f>
        <v/>
      </c>
      <c r="BK31" s="65">
        <f>MAX(0,BK29-BJ30)</f>
        <v/>
      </c>
      <c r="BL31" s="65">
        <f>MAX(0,BL29-BK30)</f>
        <v/>
      </c>
      <c r="BM31" s="65">
        <f>MAX(0,BM29-BL30)</f>
        <v/>
      </c>
      <c r="BN31" s="65">
        <f>MAX(0,BN29-BM30)</f>
        <v/>
      </c>
      <c r="BO31" s="65">
        <f>MAX(0,BO29-BN30)</f>
        <v/>
      </c>
      <c r="BP31" s="65">
        <f>MAX(0,BP29-BO30)</f>
        <v/>
      </c>
      <c r="BQ31" s="65">
        <f>MAX(0,BQ29-BP30)</f>
        <v/>
      </c>
      <c r="BR31" s="65">
        <f>MAX(0,BR29-BQ30)</f>
        <v/>
      </c>
      <c r="BS31" s="65">
        <f>MAX(0,BS29-BR30)</f>
        <v/>
      </c>
      <c r="BT31" s="65">
        <f>MAX(0,BT29-BS30)</f>
        <v/>
      </c>
      <c r="BU31" s="65">
        <f>MAX(0,BU29-BT30)</f>
        <v/>
      </c>
      <c r="BV31" s="65">
        <f>MAX(0,BV29-BU30)</f>
        <v/>
      </c>
      <c r="BW31" s="65">
        <f>MAX(0,BW29-BV30)</f>
        <v/>
      </c>
      <c r="BX31" s="65">
        <f>MAX(0,BX29-BW30)</f>
        <v/>
      </c>
      <c r="BY31" s="65">
        <f>MAX(0,BY29-BX30)</f>
        <v/>
      </c>
      <c r="BZ31" s="65">
        <f>MAX(0,BZ29-BY30)</f>
        <v/>
      </c>
      <c r="CA31" s="65">
        <f>MAX(0,CA29-BZ30)</f>
        <v/>
      </c>
      <c r="CB31" s="65">
        <f>MAX(0,CB29-CA30)</f>
        <v/>
      </c>
      <c r="CC31" s="65">
        <f>MAX(0,CC29-CB30)</f>
        <v/>
      </c>
      <c r="CD31" s="65">
        <f>MAX(0,CD29-CC30)</f>
        <v/>
      </c>
      <c r="CE31" s="65">
        <f>MAX(0,CE29-CD30)</f>
        <v/>
      </c>
      <c r="CF31" s="65">
        <f>MAX(0,CF29-CE30)</f>
        <v/>
      </c>
      <c r="CG31" s="65">
        <f>MAX(0,CG29-CF30)</f>
        <v/>
      </c>
      <c r="CH31" s="65">
        <f>MAX(0,CH29-CG30)</f>
        <v/>
      </c>
      <c r="CI31" s="65">
        <f>MAX(0,CI29-CH30)</f>
        <v/>
      </c>
      <c r="CJ31" s="65">
        <f>MAX(0,CJ29-CI30)</f>
        <v/>
      </c>
      <c r="CK31" s="65">
        <f>MAX(0,CK29-CJ30)</f>
        <v/>
      </c>
      <c r="CL31" s="65">
        <f>MAX(0,CL29-CK30)</f>
        <v/>
      </c>
      <c r="CM31" s="65">
        <f>MAX(0,CM29-CL30)</f>
        <v/>
      </c>
      <c r="CN31" s="65">
        <f>MAX(0,CN29-CM30)</f>
        <v/>
      </c>
      <c r="CO31" s="65">
        <f>MAX(0,CO29-CN30)</f>
        <v/>
      </c>
      <c r="CP31" s="65">
        <f>MAX(0,CP29-CO30)</f>
        <v/>
      </c>
      <c r="CQ31" s="65">
        <f>MAX(0,CQ29-CP30)</f>
        <v/>
      </c>
      <c r="CR31" s="65">
        <f>MAX(0,CR29-CQ30)</f>
        <v/>
      </c>
      <c r="CS31" s="65">
        <f>MAX(0,CS29-CR30)</f>
        <v/>
      </c>
      <c r="CT31" s="65">
        <f>MAX(0,CT29-CS30)</f>
        <v/>
      </c>
      <c r="CU31" s="65">
        <f>MAX(0,CU29-CT30)</f>
        <v/>
      </c>
      <c r="CV31" s="65">
        <f>MAX(0,CV29-CU30)</f>
        <v/>
      </c>
      <c r="CW31" s="65">
        <f>MAX(0,CW29-CV30)</f>
        <v/>
      </c>
      <c r="CX31" s="65">
        <f>MAX(0,CX29-CW30)</f>
        <v/>
      </c>
      <c r="CY31" s="65">
        <f>MAX(0,CY29-CX30)</f>
        <v/>
      </c>
      <c r="CZ31" s="65">
        <f>MAX(0,CZ29-CY30)</f>
        <v/>
      </c>
      <c r="DA31" s="65">
        <f>MAX(0,DA29-CZ30)</f>
        <v/>
      </c>
      <c r="DB31" s="65">
        <f>MAX(0,DB29-DA30)</f>
        <v/>
      </c>
      <c r="DC31" s="65">
        <f>MAX(0,DC29-DB30)</f>
        <v/>
      </c>
      <c r="DD31" s="65">
        <f>MAX(0,DD29-DC30)</f>
        <v/>
      </c>
      <c r="DE31" s="65">
        <f>MAX(0,DE29-DD30)</f>
        <v/>
      </c>
      <c r="DF31" s="65">
        <f>MAX(0,DF29-DE30)</f>
        <v/>
      </c>
      <c r="DG31" s="65">
        <f>MAX(0,DG29-DF30)</f>
        <v/>
      </c>
      <c r="DH31" s="65">
        <f>MAX(0,DH29-DG30)</f>
        <v/>
      </c>
      <c r="DI31" s="65">
        <f>MAX(0,DI29-DH30)</f>
        <v/>
      </c>
      <c r="DJ31" s="65">
        <f>MAX(0,DJ29-DI30)</f>
        <v/>
      </c>
      <c r="DK31" s="65">
        <f>MAX(0,DK29-DJ30)</f>
        <v/>
      </c>
      <c r="DL31" s="65">
        <f>MAX(0,DL29-DK30)</f>
        <v/>
      </c>
      <c r="DM31" s="65">
        <f>MAX(0,DM29-DL30)</f>
        <v/>
      </c>
      <c r="DN31" s="65">
        <f>MAX(0,DN29-DM30)</f>
        <v/>
      </c>
      <c r="DO31" s="65">
        <f>MAX(0,DO29-DN30)</f>
        <v/>
      </c>
      <c r="DP31" s="65">
        <f>MAX(0,DP29-DO30)</f>
        <v/>
      </c>
      <c r="DQ31" s="65">
        <f>MAX(0,DQ29-DP30)</f>
        <v/>
      </c>
      <c r="DR31" s="65">
        <f>MAX(0,DR29-DQ30)</f>
        <v/>
      </c>
      <c r="DS31" s="65">
        <f>MAX(0,DS29-DR30)</f>
        <v/>
      </c>
    </row>
    <row r="32">
      <c r="B32" s="22" t="inlineStr">
        <is>
          <t>الضريبة</t>
        </is>
      </c>
      <c r="C32" s="65">
        <f>C31*'الافتراضات'!$C$11</f>
        <v/>
      </c>
      <c r="D32" s="65">
        <f>D31*'الافتراضات'!$C$11</f>
        <v/>
      </c>
      <c r="E32" s="65">
        <f>E31*'الافتراضات'!$C$11</f>
        <v/>
      </c>
      <c r="F32" s="65">
        <f>F31*'الافتراضات'!$C$11</f>
        <v/>
      </c>
      <c r="G32" s="65">
        <f>G31*'الافتراضات'!$C$11</f>
        <v/>
      </c>
      <c r="H32" s="65">
        <f>H31*'الافتراضات'!$C$11</f>
        <v/>
      </c>
      <c r="I32" s="65">
        <f>I31*'الافتراضات'!$C$11</f>
        <v/>
      </c>
      <c r="J32" s="65">
        <f>J31*'الافتراضات'!$C$11</f>
        <v/>
      </c>
      <c r="K32" s="65">
        <f>K31*'الافتراضات'!$C$11</f>
        <v/>
      </c>
      <c r="L32" s="65">
        <f>L31*'الافتراضات'!$C$11</f>
        <v/>
      </c>
      <c r="M32" s="65">
        <f>M31*'الافتراضات'!$C$11</f>
        <v/>
      </c>
      <c r="N32" s="65">
        <f>N31*'الافتراضات'!$C$11</f>
        <v/>
      </c>
      <c r="O32" s="65">
        <f>O31*'الافتراضات'!$C$11</f>
        <v/>
      </c>
      <c r="P32" s="65">
        <f>P31*'الافتراضات'!$C$11</f>
        <v/>
      </c>
      <c r="Q32" s="65">
        <f>Q31*'الافتراضات'!$C$11</f>
        <v/>
      </c>
      <c r="R32" s="65">
        <f>R31*'الافتراضات'!$C$11</f>
        <v/>
      </c>
      <c r="S32" s="65">
        <f>S31*'الافتراضات'!$C$11</f>
        <v/>
      </c>
      <c r="T32" s="65">
        <f>T31*'الافتراضات'!$C$11</f>
        <v/>
      </c>
      <c r="U32" s="65">
        <f>U31*'الافتراضات'!$C$11</f>
        <v/>
      </c>
      <c r="V32" s="65">
        <f>V31*'الافتراضات'!$C$11</f>
        <v/>
      </c>
      <c r="W32" s="65">
        <f>W31*'الافتراضات'!$C$11</f>
        <v/>
      </c>
      <c r="X32" s="65">
        <f>X31*'الافتراضات'!$C$11</f>
        <v/>
      </c>
      <c r="Y32" s="65">
        <f>Y31*'الافتراضات'!$C$11</f>
        <v/>
      </c>
      <c r="Z32" s="65">
        <f>Z31*'الافتراضات'!$C$11</f>
        <v/>
      </c>
      <c r="AA32" s="65">
        <f>AA31*'الافتراضات'!$C$11</f>
        <v/>
      </c>
      <c r="AB32" s="65">
        <f>AB31*'الافتراضات'!$C$11</f>
        <v/>
      </c>
      <c r="AC32" s="65">
        <f>AC31*'الافتراضات'!$C$11</f>
        <v/>
      </c>
      <c r="AD32" s="65">
        <f>AD31*'الافتراضات'!$C$11</f>
        <v/>
      </c>
      <c r="AE32" s="65">
        <f>AE31*'الافتراضات'!$C$11</f>
        <v/>
      </c>
      <c r="AF32" s="65">
        <f>AF31*'الافتراضات'!$C$11</f>
        <v/>
      </c>
      <c r="AG32" s="65">
        <f>AG31*'الافتراضات'!$C$11</f>
        <v/>
      </c>
      <c r="AH32" s="65">
        <f>AH31*'الافتراضات'!$C$11</f>
        <v/>
      </c>
      <c r="AI32" s="65">
        <f>AI31*'الافتراضات'!$C$11</f>
        <v/>
      </c>
      <c r="AJ32" s="65">
        <f>AJ31*'الافتراضات'!$C$11</f>
        <v/>
      </c>
      <c r="AK32" s="65">
        <f>AK31*'الافتراضات'!$C$11</f>
        <v/>
      </c>
      <c r="AL32" s="65">
        <f>AL31*'الافتراضات'!$C$11</f>
        <v/>
      </c>
      <c r="AM32" s="65">
        <f>AM31*'الافتراضات'!$C$11</f>
        <v/>
      </c>
      <c r="AN32" s="65">
        <f>AN31*'الافتراضات'!$C$11</f>
        <v/>
      </c>
      <c r="AO32" s="65">
        <f>AO31*'الافتراضات'!$C$11</f>
        <v/>
      </c>
      <c r="AP32" s="65">
        <f>AP31*'الافتراضات'!$C$11</f>
        <v/>
      </c>
      <c r="AQ32" s="65">
        <f>AQ31*'الافتراضات'!$C$11</f>
        <v/>
      </c>
      <c r="AR32" s="65">
        <f>AR31*'الافتراضات'!$C$11</f>
        <v/>
      </c>
      <c r="AS32" s="65">
        <f>AS31*'الافتراضات'!$C$11</f>
        <v/>
      </c>
      <c r="AT32" s="65">
        <f>AT31*'الافتراضات'!$C$11</f>
        <v/>
      </c>
      <c r="AU32" s="65">
        <f>AU31*'الافتراضات'!$C$11</f>
        <v/>
      </c>
      <c r="AV32" s="65">
        <f>AV31*'الافتراضات'!$C$11</f>
        <v/>
      </c>
      <c r="AW32" s="65">
        <f>AW31*'الافتراضات'!$C$11</f>
        <v/>
      </c>
      <c r="AX32" s="65">
        <f>AX31*'الافتراضات'!$C$11</f>
        <v/>
      </c>
      <c r="AY32" s="65">
        <f>AY31*'الافتراضات'!$C$11</f>
        <v/>
      </c>
      <c r="AZ32" s="65">
        <f>AZ31*'الافتراضات'!$C$11</f>
        <v/>
      </c>
      <c r="BA32" s="65">
        <f>BA31*'الافتراضات'!$C$11</f>
        <v/>
      </c>
      <c r="BB32" s="65">
        <f>BB31*'الافتراضات'!$C$11</f>
        <v/>
      </c>
      <c r="BC32" s="65">
        <f>BC31*'الافتراضات'!$C$11</f>
        <v/>
      </c>
      <c r="BD32" s="65">
        <f>BD31*'الافتراضات'!$C$11</f>
        <v/>
      </c>
      <c r="BE32" s="65">
        <f>BE31*'الافتراضات'!$C$11</f>
        <v/>
      </c>
      <c r="BF32" s="65">
        <f>BF31*'الافتراضات'!$C$11</f>
        <v/>
      </c>
      <c r="BG32" s="65">
        <f>BG31*'الافتراضات'!$C$11</f>
        <v/>
      </c>
      <c r="BH32" s="65">
        <f>BH31*'الافتراضات'!$C$11</f>
        <v/>
      </c>
      <c r="BI32" s="65">
        <f>BI31*'الافتراضات'!$C$11</f>
        <v/>
      </c>
      <c r="BJ32" s="65">
        <f>BJ31*'الافتراضات'!$C$11</f>
        <v/>
      </c>
      <c r="BK32" s="65">
        <f>BK31*'الافتراضات'!$C$11</f>
        <v/>
      </c>
      <c r="BL32" s="65">
        <f>BL31*'الافتراضات'!$C$11</f>
        <v/>
      </c>
      <c r="BM32" s="65">
        <f>BM31*'الافتراضات'!$C$11</f>
        <v/>
      </c>
      <c r="BN32" s="65">
        <f>BN31*'الافتراضات'!$C$11</f>
        <v/>
      </c>
      <c r="BO32" s="65">
        <f>BO31*'الافتراضات'!$C$11</f>
        <v/>
      </c>
      <c r="BP32" s="65">
        <f>BP31*'الافتراضات'!$C$11</f>
        <v/>
      </c>
      <c r="BQ32" s="65">
        <f>BQ31*'الافتراضات'!$C$11</f>
        <v/>
      </c>
      <c r="BR32" s="65">
        <f>BR31*'الافتراضات'!$C$11</f>
        <v/>
      </c>
      <c r="BS32" s="65">
        <f>BS31*'الافتراضات'!$C$11</f>
        <v/>
      </c>
      <c r="BT32" s="65">
        <f>BT31*'الافتراضات'!$C$11</f>
        <v/>
      </c>
      <c r="BU32" s="65">
        <f>BU31*'الافتراضات'!$C$11</f>
        <v/>
      </c>
      <c r="BV32" s="65">
        <f>BV31*'الافتراضات'!$C$11</f>
        <v/>
      </c>
      <c r="BW32" s="65">
        <f>BW31*'الافتراضات'!$C$11</f>
        <v/>
      </c>
      <c r="BX32" s="65">
        <f>BX31*'الافتراضات'!$C$11</f>
        <v/>
      </c>
      <c r="BY32" s="65">
        <f>BY31*'الافتراضات'!$C$11</f>
        <v/>
      </c>
      <c r="BZ32" s="65">
        <f>BZ31*'الافتراضات'!$C$11</f>
        <v/>
      </c>
      <c r="CA32" s="65">
        <f>CA31*'الافتراضات'!$C$11</f>
        <v/>
      </c>
      <c r="CB32" s="65">
        <f>CB31*'الافتراضات'!$C$11</f>
        <v/>
      </c>
      <c r="CC32" s="65">
        <f>CC31*'الافتراضات'!$C$11</f>
        <v/>
      </c>
      <c r="CD32" s="65">
        <f>CD31*'الافتراضات'!$C$11</f>
        <v/>
      </c>
      <c r="CE32" s="65">
        <f>CE31*'الافتراضات'!$C$11</f>
        <v/>
      </c>
      <c r="CF32" s="65">
        <f>CF31*'الافتراضات'!$C$11</f>
        <v/>
      </c>
      <c r="CG32" s="65">
        <f>CG31*'الافتراضات'!$C$11</f>
        <v/>
      </c>
      <c r="CH32" s="65">
        <f>CH31*'الافتراضات'!$C$11</f>
        <v/>
      </c>
      <c r="CI32" s="65">
        <f>CI31*'الافتراضات'!$C$11</f>
        <v/>
      </c>
      <c r="CJ32" s="65">
        <f>CJ31*'الافتراضات'!$C$11</f>
        <v/>
      </c>
      <c r="CK32" s="65">
        <f>CK31*'الافتراضات'!$C$11</f>
        <v/>
      </c>
      <c r="CL32" s="65">
        <f>CL31*'الافتراضات'!$C$11</f>
        <v/>
      </c>
      <c r="CM32" s="65">
        <f>CM31*'الافتراضات'!$C$11</f>
        <v/>
      </c>
      <c r="CN32" s="65">
        <f>CN31*'الافتراضات'!$C$11</f>
        <v/>
      </c>
      <c r="CO32" s="65">
        <f>CO31*'الافتراضات'!$C$11</f>
        <v/>
      </c>
      <c r="CP32" s="65">
        <f>CP31*'الافتراضات'!$C$11</f>
        <v/>
      </c>
      <c r="CQ32" s="65">
        <f>CQ31*'الافتراضات'!$C$11</f>
        <v/>
      </c>
      <c r="CR32" s="65">
        <f>CR31*'الافتراضات'!$C$11</f>
        <v/>
      </c>
      <c r="CS32" s="65">
        <f>CS31*'الافتراضات'!$C$11</f>
        <v/>
      </c>
      <c r="CT32" s="65">
        <f>CT31*'الافتراضات'!$C$11</f>
        <v/>
      </c>
      <c r="CU32" s="65">
        <f>CU31*'الافتراضات'!$C$11</f>
        <v/>
      </c>
      <c r="CV32" s="65">
        <f>CV31*'الافتراضات'!$C$11</f>
        <v/>
      </c>
      <c r="CW32" s="65">
        <f>CW31*'الافتراضات'!$C$11</f>
        <v/>
      </c>
      <c r="CX32" s="65">
        <f>CX31*'الافتراضات'!$C$11</f>
        <v/>
      </c>
      <c r="CY32" s="65">
        <f>CY31*'الافتراضات'!$C$11</f>
        <v/>
      </c>
      <c r="CZ32" s="65">
        <f>CZ31*'الافتراضات'!$C$11</f>
        <v/>
      </c>
      <c r="DA32" s="65">
        <f>DA31*'الافتراضات'!$C$11</f>
        <v/>
      </c>
      <c r="DB32" s="65">
        <f>DB31*'الافتراضات'!$C$11</f>
        <v/>
      </c>
      <c r="DC32" s="65">
        <f>DC31*'الافتراضات'!$C$11</f>
        <v/>
      </c>
      <c r="DD32" s="65">
        <f>DD31*'الافتراضات'!$C$11</f>
        <v/>
      </c>
      <c r="DE32" s="65">
        <f>DE31*'الافتراضات'!$C$11</f>
        <v/>
      </c>
      <c r="DF32" s="65">
        <f>DF31*'الافتراضات'!$C$11</f>
        <v/>
      </c>
      <c r="DG32" s="65">
        <f>DG31*'الافتراضات'!$C$11</f>
        <v/>
      </c>
      <c r="DH32" s="65">
        <f>DH31*'الافتراضات'!$C$11</f>
        <v/>
      </c>
      <c r="DI32" s="65">
        <f>DI31*'الافتراضات'!$C$11</f>
        <v/>
      </c>
      <c r="DJ32" s="65">
        <f>DJ31*'الافتراضات'!$C$11</f>
        <v/>
      </c>
      <c r="DK32" s="65">
        <f>DK31*'الافتراضات'!$C$11</f>
        <v/>
      </c>
      <c r="DL32" s="65">
        <f>DL31*'الافتراضات'!$C$11</f>
        <v/>
      </c>
      <c r="DM32" s="65">
        <f>DM31*'الافتراضات'!$C$11</f>
        <v/>
      </c>
      <c r="DN32" s="65">
        <f>DN31*'الافتراضات'!$C$11</f>
        <v/>
      </c>
      <c r="DO32" s="65">
        <f>DO31*'الافتراضات'!$C$11</f>
        <v/>
      </c>
      <c r="DP32" s="65">
        <f>DP31*'الافتراضات'!$C$11</f>
        <v/>
      </c>
      <c r="DQ32" s="65">
        <f>DQ31*'الافتراضات'!$C$11</f>
        <v/>
      </c>
      <c r="DR32" s="65">
        <f>DR31*'الافتراضات'!$C$11</f>
        <v/>
      </c>
      <c r="DS32" s="65">
        <f>DS31*'الافتراضات'!$C$11</f>
        <v/>
      </c>
    </row>
    <row r="33">
      <c r="B33" s="22" t="inlineStr">
        <is>
          <t>رصيد رأس المال العامل المطلوب</t>
        </is>
      </c>
      <c r="C33" s="65">
        <f>0</f>
        <v/>
      </c>
      <c r="D33" s="65">
        <f>('الافتراضات'!$C$74/30)*D18+('الافتراضات'!$C$75/30)*D14+('الافتراضات'!$C$76/30)*D15+('الافتراضات'!$C$73/30)*D17*(1-'الافتراضات'!$C$72)-('الافتراضات'!$C$77/30)*D24+'الافتراضات'!$C$78</f>
        <v/>
      </c>
      <c r="E33" s="65">
        <f>('الافتراضات'!$C$74/30)*E18+('الافتراضات'!$C$75/30)*E14+('الافتراضات'!$C$76/30)*E15+('الافتراضات'!$C$73/30)*E17*(1-'الافتراضات'!$C$72)-('الافتراضات'!$C$77/30)*E24+'الافتراضات'!$C$78</f>
        <v/>
      </c>
      <c r="F33" s="65">
        <f>('الافتراضات'!$C$74/30)*F18+('الافتراضات'!$C$75/30)*F14+('الافتراضات'!$C$76/30)*F15+('الافتراضات'!$C$73/30)*F17*(1-'الافتراضات'!$C$72)-('الافتراضات'!$C$77/30)*F24+'الافتراضات'!$C$78</f>
        <v/>
      </c>
      <c r="G33" s="65">
        <f>('الافتراضات'!$C$74/30)*G18+('الافتراضات'!$C$75/30)*G14+('الافتراضات'!$C$76/30)*G15+('الافتراضات'!$C$73/30)*G17*(1-'الافتراضات'!$C$72)-('الافتراضات'!$C$77/30)*G24+'الافتراضات'!$C$78</f>
        <v/>
      </c>
      <c r="H33" s="65">
        <f>('الافتراضات'!$C$74/30)*H18+('الافتراضات'!$C$75/30)*H14+('الافتراضات'!$C$76/30)*H15+('الافتراضات'!$C$73/30)*H17*(1-'الافتراضات'!$C$72)-('الافتراضات'!$C$77/30)*H24+'الافتراضات'!$C$78</f>
        <v/>
      </c>
      <c r="I33" s="65">
        <f>('الافتراضات'!$C$74/30)*I18+('الافتراضات'!$C$75/30)*I14+('الافتراضات'!$C$76/30)*I15+('الافتراضات'!$C$73/30)*I17*(1-'الافتراضات'!$C$72)-('الافتراضات'!$C$77/30)*I24+'الافتراضات'!$C$78</f>
        <v/>
      </c>
      <c r="J33" s="65">
        <f>('الافتراضات'!$C$74/30)*J18+('الافتراضات'!$C$75/30)*J14+('الافتراضات'!$C$76/30)*J15+('الافتراضات'!$C$73/30)*J17*(1-'الافتراضات'!$C$72)-('الافتراضات'!$C$77/30)*J24+'الافتراضات'!$C$78</f>
        <v/>
      </c>
      <c r="K33" s="65">
        <f>('الافتراضات'!$C$74/30)*K18+('الافتراضات'!$C$75/30)*K14+('الافتراضات'!$C$76/30)*K15+('الافتراضات'!$C$73/30)*K17*(1-'الافتراضات'!$C$72)-('الافتراضات'!$C$77/30)*K24+'الافتراضات'!$C$78</f>
        <v/>
      </c>
      <c r="L33" s="65">
        <f>('الافتراضات'!$C$74/30)*L18+('الافتراضات'!$C$75/30)*L14+('الافتراضات'!$C$76/30)*L15+('الافتراضات'!$C$73/30)*L17*(1-'الافتراضات'!$C$72)-('الافتراضات'!$C$77/30)*L24+'الافتراضات'!$C$78</f>
        <v/>
      </c>
      <c r="M33" s="65">
        <f>('الافتراضات'!$C$74/30)*M18+('الافتراضات'!$C$75/30)*M14+('الافتراضات'!$C$76/30)*M15+('الافتراضات'!$C$73/30)*M17*(1-'الافتراضات'!$C$72)-('الافتراضات'!$C$77/30)*M24+'الافتراضات'!$C$78</f>
        <v/>
      </c>
      <c r="N33" s="65">
        <f>('الافتراضات'!$C$74/30)*N18+('الافتراضات'!$C$75/30)*N14+('الافتراضات'!$C$76/30)*N15+('الافتراضات'!$C$73/30)*N17*(1-'الافتراضات'!$C$72)-('الافتراضات'!$C$77/30)*N24+'الافتراضات'!$C$78</f>
        <v/>
      </c>
      <c r="O33" s="65">
        <f>('الافتراضات'!$C$74/30)*O18+('الافتراضات'!$C$75/30)*O14+('الافتراضات'!$C$76/30)*O15+('الافتراضات'!$C$73/30)*O17*(1-'الافتراضات'!$C$72)-('الافتراضات'!$C$77/30)*O24+'الافتراضات'!$C$78</f>
        <v/>
      </c>
      <c r="P33" s="65">
        <f>('الافتراضات'!$C$74/30)*P18+('الافتراضات'!$C$75/30)*P14+('الافتراضات'!$C$76/30)*P15+('الافتراضات'!$C$73/30)*P17*(1-'الافتراضات'!$C$72)-('الافتراضات'!$C$77/30)*P24+'الافتراضات'!$C$78</f>
        <v/>
      </c>
      <c r="Q33" s="65">
        <f>('الافتراضات'!$C$74/30)*Q18+('الافتراضات'!$C$75/30)*Q14+('الافتراضات'!$C$76/30)*Q15+('الافتراضات'!$C$73/30)*Q17*(1-'الافتراضات'!$C$72)-('الافتراضات'!$C$77/30)*Q24+'الافتراضات'!$C$78</f>
        <v/>
      </c>
      <c r="R33" s="65">
        <f>('الافتراضات'!$C$74/30)*R18+('الافتراضات'!$C$75/30)*R14+('الافتراضات'!$C$76/30)*R15+('الافتراضات'!$C$73/30)*R17*(1-'الافتراضات'!$C$72)-('الافتراضات'!$C$77/30)*R24+'الافتراضات'!$C$78</f>
        <v/>
      </c>
      <c r="S33" s="65">
        <f>('الافتراضات'!$C$74/30)*S18+('الافتراضات'!$C$75/30)*S14+('الافتراضات'!$C$76/30)*S15+('الافتراضات'!$C$73/30)*S17*(1-'الافتراضات'!$C$72)-('الافتراضات'!$C$77/30)*S24+'الافتراضات'!$C$78</f>
        <v/>
      </c>
      <c r="T33" s="65">
        <f>('الافتراضات'!$C$74/30)*T18+('الافتراضات'!$C$75/30)*T14+('الافتراضات'!$C$76/30)*T15+('الافتراضات'!$C$73/30)*T17*(1-'الافتراضات'!$C$72)-('الافتراضات'!$C$77/30)*T24+'الافتراضات'!$C$78</f>
        <v/>
      </c>
      <c r="U33" s="65">
        <f>('الافتراضات'!$C$74/30)*U18+('الافتراضات'!$C$75/30)*U14+('الافتراضات'!$C$76/30)*U15+('الافتراضات'!$C$73/30)*U17*(1-'الافتراضات'!$C$72)-('الافتراضات'!$C$77/30)*U24+'الافتراضات'!$C$78</f>
        <v/>
      </c>
      <c r="V33" s="65">
        <f>('الافتراضات'!$C$74/30)*V18+('الافتراضات'!$C$75/30)*V14+('الافتراضات'!$C$76/30)*V15+('الافتراضات'!$C$73/30)*V17*(1-'الافتراضات'!$C$72)-('الافتراضات'!$C$77/30)*V24+'الافتراضات'!$C$78</f>
        <v/>
      </c>
      <c r="W33" s="65">
        <f>('الافتراضات'!$C$74/30)*W18+('الافتراضات'!$C$75/30)*W14+('الافتراضات'!$C$76/30)*W15+('الافتراضات'!$C$73/30)*W17*(1-'الافتراضات'!$C$72)-('الافتراضات'!$C$77/30)*W24+'الافتراضات'!$C$78</f>
        <v/>
      </c>
      <c r="X33" s="65">
        <f>('الافتراضات'!$C$74/30)*X18+('الافتراضات'!$C$75/30)*X14+('الافتراضات'!$C$76/30)*X15+('الافتراضات'!$C$73/30)*X17*(1-'الافتراضات'!$C$72)-('الافتراضات'!$C$77/30)*X24+'الافتراضات'!$C$78</f>
        <v/>
      </c>
      <c r="Y33" s="65">
        <f>('الافتراضات'!$C$74/30)*Y18+('الافتراضات'!$C$75/30)*Y14+('الافتراضات'!$C$76/30)*Y15+('الافتراضات'!$C$73/30)*Y17*(1-'الافتراضات'!$C$72)-('الافتراضات'!$C$77/30)*Y24+'الافتراضات'!$C$78</f>
        <v/>
      </c>
      <c r="Z33" s="65">
        <f>('الافتراضات'!$C$74/30)*Z18+('الافتراضات'!$C$75/30)*Z14+('الافتراضات'!$C$76/30)*Z15+('الافتراضات'!$C$73/30)*Z17*(1-'الافتراضات'!$C$72)-('الافتراضات'!$C$77/30)*Z24+'الافتراضات'!$C$78</f>
        <v/>
      </c>
      <c r="AA33" s="65">
        <f>('الافتراضات'!$C$74/30)*AA18+('الافتراضات'!$C$75/30)*AA14+('الافتراضات'!$C$76/30)*AA15+('الافتراضات'!$C$73/30)*AA17*(1-'الافتراضات'!$C$72)-('الافتراضات'!$C$77/30)*AA24+'الافتراضات'!$C$78</f>
        <v/>
      </c>
      <c r="AB33" s="65">
        <f>('الافتراضات'!$C$74/30)*AB18+('الافتراضات'!$C$75/30)*AB14+('الافتراضات'!$C$76/30)*AB15+('الافتراضات'!$C$73/30)*AB17*(1-'الافتراضات'!$C$72)-('الافتراضات'!$C$77/30)*AB24+'الافتراضات'!$C$78</f>
        <v/>
      </c>
      <c r="AC33" s="65">
        <f>('الافتراضات'!$C$74/30)*AC18+('الافتراضات'!$C$75/30)*AC14+('الافتراضات'!$C$76/30)*AC15+('الافتراضات'!$C$73/30)*AC17*(1-'الافتراضات'!$C$72)-('الافتراضات'!$C$77/30)*AC24+'الافتراضات'!$C$78</f>
        <v/>
      </c>
      <c r="AD33" s="65">
        <f>('الافتراضات'!$C$74/30)*AD18+('الافتراضات'!$C$75/30)*AD14+('الافتراضات'!$C$76/30)*AD15+('الافتراضات'!$C$73/30)*AD17*(1-'الافتراضات'!$C$72)-('الافتراضات'!$C$77/30)*AD24+'الافتراضات'!$C$78</f>
        <v/>
      </c>
      <c r="AE33" s="65">
        <f>('الافتراضات'!$C$74/30)*AE18+('الافتراضات'!$C$75/30)*AE14+('الافتراضات'!$C$76/30)*AE15+('الافتراضات'!$C$73/30)*AE17*(1-'الافتراضات'!$C$72)-('الافتراضات'!$C$77/30)*AE24+'الافتراضات'!$C$78</f>
        <v/>
      </c>
      <c r="AF33" s="65">
        <f>('الافتراضات'!$C$74/30)*AF18+('الافتراضات'!$C$75/30)*AF14+('الافتراضات'!$C$76/30)*AF15+('الافتراضات'!$C$73/30)*AF17*(1-'الافتراضات'!$C$72)-('الافتراضات'!$C$77/30)*AF24+'الافتراضات'!$C$78</f>
        <v/>
      </c>
      <c r="AG33" s="65">
        <f>('الافتراضات'!$C$74/30)*AG18+('الافتراضات'!$C$75/30)*AG14+('الافتراضات'!$C$76/30)*AG15+('الافتراضات'!$C$73/30)*AG17*(1-'الافتراضات'!$C$72)-('الافتراضات'!$C$77/30)*AG24+'الافتراضات'!$C$78</f>
        <v/>
      </c>
      <c r="AH33" s="65">
        <f>('الافتراضات'!$C$74/30)*AH18+('الافتراضات'!$C$75/30)*AH14+('الافتراضات'!$C$76/30)*AH15+('الافتراضات'!$C$73/30)*AH17*(1-'الافتراضات'!$C$72)-('الافتراضات'!$C$77/30)*AH24+'الافتراضات'!$C$78</f>
        <v/>
      </c>
      <c r="AI33" s="65">
        <f>('الافتراضات'!$C$74/30)*AI18+('الافتراضات'!$C$75/30)*AI14+('الافتراضات'!$C$76/30)*AI15+('الافتراضات'!$C$73/30)*AI17*(1-'الافتراضات'!$C$72)-('الافتراضات'!$C$77/30)*AI24+'الافتراضات'!$C$78</f>
        <v/>
      </c>
      <c r="AJ33" s="65">
        <f>('الافتراضات'!$C$74/30)*AJ18+('الافتراضات'!$C$75/30)*AJ14+('الافتراضات'!$C$76/30)*AJ15+('الافتراضات'!$C$73/30)*AJ17*(1-'الافتراضات'!$C$72)-('الافتراضات'!$C$77/30)*AJ24+'الافتراضات'!$C$78</f>
        <v/>
      </c>
      <c r="AK33" s="65">
        <f>('الافتراضات'!$C$74/30)*AK18+('الافتراضات'!$C$75/30)*AK14+('الافتراضات'!$C$76/30)*AK15+('الافتراضات'!$C$73/30)*AK17*(1-'الافتراضات'!$C$72)-('الافتراضات'!$C$77/30)*AK24+'الافتراضات'!$C$78</f>
        <v/>
      </c>
      <c r="AL33" s="65">
        <f>('الافتراضات'!$C$74/30)*AL18+('الافتراضات'!$C$75/30)*AL14+('الافتراضات'!$C$76/30)*AL15+('الافتراضات'!$C$73/30)*AL17*(1-'الافتراضات'!$C$72)-('الافتراضات'!$C$77/30)*AL24+'الافتراضات'!$C$78</f>
        <v/>
      </c>
      <c r="AM33" s="65">
        <f>('الافتراضات'!$C$74/30)*AM18+('الافتراضات'!$C$75/30)*AM14+('الافتراضات'!$C$76/30)*AM15+('الافتراضات'!$C$73/30)*AM17*(1-'الافتراضات'!$C$72)-('الافتراضات'!$C$77/30)*AM24+'الافتراضات'!$C$78</f>
        <v/>
      </c>
      <c r="AN33" s="65">
        <f>('الافتراضات'!$C$74/30)*AN18+('الافتراضات'!$C$75/30)*AN14+('الافتراضات'!$C$76/30)*AN15+('الافتراضات'!$C$73/30)*AN17*(1-'الافتراضات'!$C$72)-('الافتراضات'!$C$77/30)*AN24+'الافتراضات'!$C$78</f>
        <v/>
      </c>
      <c r="AO33" s="65">
        <f>('الافتراضات'!$C$74/30)*AO18+('الافتراضات'!$C$75/30)*AO14+('الافتراضات'!$C$76/30)*AO15+('الافتراضات'!$C$73/30)*AO17*(1-'الافتراضات'!$C$72)-('الافتراضات'!$C$77/30)*AO24+'الافتراضات'!$C$78</f>
        <v/>
      </c>
      <c r="AP33" s="65">
        <f>('الافتراضات'!$C$74/30)*AP18+('الافتراضات'!$C$75/30)*AP14+('الافتراضات'!$C$76/30)*AP15+('الافتراضات'!$C$73/30)*AP17*(1-'الافتراضات'!$C$72)-('الافتراضات'!$C$77/30)*AP24+'الافتراضات'!$C$78</f>
        <v/>
      </c>
      <c r="AQ33" s="65">
        <f>('الافتراضات'!$C$74/30)*AQ18+('الافتراضات'!$C$75/30)*AQ14+('الافتراضات'!$C$76/30)*AQ15+('الافتراضات'!$C$73/30)*AQ17*(1-'الافتراضات'!$C$72)-('الافتراضات'!$C$77/30)*AQ24+'الافتراضات'!$C$78</f>
        <v/>
      </c>
      <c r="AR33" s="65">
        <f>('الافتراضات'!$C$74/30)*AR18+('الافتراضات'!$C$75/30)*AR14+('الافتراضات'!$C$76/30)*AR15+('الافتراضات'!$C$73/30)*AR17*(1-'الافتراضات'!$C$72)-('الافتراضات'!$C$77/30)*AR24+'الافتراضات'!$C$78</f>
        <v/>
      </c>
      <c r="AS33" s="65">
        <f>('الافتراضات'!$C$74/30)*AS18+('الافتراضات'!$C$75/30)*AS14+('الافتراضات'!$C$76/30)*AS15+('الافتراضات'!$C$73/30)*AS17*(1-'الافتراضات'!$C$72)-('الافتراضات'!$C$77/30)*AS24+'الافتراضات'!$C$78</f>
        <v/>
      </c>
      <c r="AT33" s="65">
        <f>('الافتراضات'!$C$74/30)*AT18+('الافتراضات'!$C$75/30)*AT14+('الافتراضات'!$C$76/30)*AT15+('الافتراضات'!$C$73/30)*AT17*(1-'الافتراضات'!$C$72)-('الافتراضات'!$C$77/30)*AT24+'الافتراضات'!$C$78</f>
        <v/>
      </c>
      <c r="AU33" s="65">
        <f>('الافتراضات'!$C$74/30)*AU18+('الافتراضات'!$C$75/30)*AU14+('الافتراضات'!$C$76/30)*AU15+('الافتراضات'!$C$73/30)*AU17*(1-'الافتراضات'!$C$72)-('الافتراضات'!$C$77/30)*AU24+'الافتراضات'!$C$78</f>
        <v/>
      </c>
      <c r="AV33" s="65">
        <f>('الافتراضات'!$C$74/30)*AV18+('الافتراضات'!$C$75/30)*AV14+('الافتراضات'!$C$76/30)*AV15+('الافتراضات'!$C$73/30)*AV17*(1-'الافتراضات'!$C$72)-('الافتراضات'!$C$77/30)*AV24+'الافتراضات'!$C$78</f>
        <v/>
      </c>
      <c r="AW33" s="65">
        <f>('الافتراضات'!$C$74/30)*AW18+('الافتراضات'!$C$75/30)*AW14+('الافتراضات'!$C$76/30)*AW15+('الافتراضات'!$C$73/30)*AW17*(1-'الافتراضات'!$C$72)-('الافتراضات'!$C$77/30)*AW24+'الافتراضات'!$C$78</f>
        <v/>
      </c>
      <c r="AX33" s="65">
        <f>('الافتراضات'!$C$74/30)*AX18+('الافتراضات'!$C$75/30)*AX14+('الافتراضات'!$C$76/30)*AX15+('الافتراضات'!$C$73/30)*AX17*(1-'الافتراضات'!$C$72)-('الافتراضات'!$C$77/30)*AX24+'الافتراضات'!$C$78</f>
        <v/>
      </c>
      <c r="AY33" s="65">
        <f>('الافتراضات'!$C$74/30)*AY18+('الافتراضات'!$C$75/30)*AY14+('الافتراضات'!$C$76/30)*AY15+('الافتراضات'!$C$73/30)*AY17*(1-'الافتراضات'!$C$72)-('الافتراضات'!$C$77/30)*AY24+'الافتراضات'!$C$78</f>
        <v/>
      </c>
      <c r="AZ33" s="65">
        <f>('الافتراضات'!$C$74/30)*AZ18+('الافتراضات'!$C$75/30)*AZ14+('الافتراضات'!$C$76/30)*AZ15+('الافتراضات'!$C$73/30)*AZ17*(1-'الافتراضات'!$C$72)-('الافتراضات'!$C$77/30)*AZ24+'الافتراضات'!$C$78</f>
        <v/>
      </c>
      <c r="BA33" s="65">
        <f>('الافتراضات'!$C$74/30)*BA18+('الافتراضات'!$C$75/30)*BA14+('الافتراضات'!$C$76/30)*BA15+('الافتراضات'!$C$73/30)*BA17*(1-'الافتراضات'!$C$72)-('الافتراضات'!$C$77/30)*BA24+'الافتراضات'!$C$78</f>
        <v/>
      </c>
      <c r="BB33" s="65">
        <f>('الافتراضات'!$C$74/30)*BB18+('الافتراضات'!$C$75/30)*BB14+('الافتراضات'!$C$76/30)*BB15+('الافتراضات'!$C$73/30)*BB17*(1-'الافتراضات'!$C$72)-('الافتراضات'!$C$77/30)*BB24+'الافتراضات'!$C$78</f>
        <v/>
      </c>
      <c r="BC33" s="65">
        <f>('الافتراضات'!$C$74/30)*BC18+('الافتراضات'!$C$75/30)*BC14+('الافتراضات'!$C$76/30)*BC15+('الافتراضات'!$C$73/30)*BC17*(1-'الافتراضات'!$C$72)-('الافتراضات'!$C$77/30)*BC24+'الافتراضات'!$C$78</f>
        <v/>
      </c>
      <c r="BD33" s="65">
        <f>('الافتراضات'!$C$74/30)*BD18+('الافتراضات'!$C$75/30)*BD14+('الافتراضات'!$C$76/30)*BD15+('الافتراضات'!$C$73/30)*BD17*(1-'الافتراضات'!$C$72)-('الافتراضات'!$C$77/30)*BD24+'الافتراضات'!$C$78</f>
        <v/>
      </c>
      <c r="BE33" s="65">
        <f>('الافتراضات'!$C$74/30)*BE18+('الافتراضات'!$C$75/30)*BE14+('الافتراضات'!$C$76/30)*BE15+('الافتراضات'!$C$73/30)*BE17*(1-'الافتراضات'!$C$72)-('الافتراضات'!$C$77/30)*BE24+'الافتراضات'!$C$78</f>
        <v/>
      </c>
      <c r="BF33" s="65">
        <f>('الافتراضات'!$C$74/30)*BF18+('الافتراضات'!$C$75/30)*BF14+('الافتراضات'!$C$76/30)*BF15+('الافتراضات'!$C$73/30)*BF17*(1-'الافتراضات'!$C$72)-('الافتراضات'!$C$77/30)*BF24+'الافتراضات'!$C$78</f>
        <v/>
      </c>
      <c r="BG33" s="65">
        <f>('الافتراضات'!$C$74/30)*BG18+('الافتراضات'!$C$75/30)*BG14+('الافتراضات'!$C$76/30)*BG15+('الافتراضات'!$C$73/30)*BG17*(1-'الافتراضات'!$C$72)-('الافتراضات'!$C$77/30)*BG24+'الافتراضات'!$C$78</f>
        <v/>
      </c>
      <c r="BH33" s="65">
        <f>('الافتراضات'!$C$74/30)*BH18+('الافتراضات'!$C$75/30)*BH14+('الافتراضات'!$C$76/30)*BH15+('الافتراضات'!$C$73/30)*BH17*(1-'الافتراضات'!$C$72)-('الافتراضات'!$C$77/30)*BH24+'الافتراضات'!$C$78</f>
        <v/>
      </c>
      <c r="BI33" s="65">
        <f>('الافتراضات'!$C$74/30)*BI18+('الافتراضات'!$C$75/30)*BI14+('الافتراضات'!$C$76/30)*BI15+('الافتراضات'!$C$73/30)*BI17*(1-'الافتراضات'!$C$72)-('الافتراضات'!$C$77/30)*BI24+'الافتراضات'!$C$78</f>
        <v/>
      </c>
      <c r="BJ33" s="65">
        <f>('الافتراضات'!$C$74/30)*BJ18+('الافتراضات'!$C$75/30)*BJ14+('الافتراضات'!$C$76/30)*BJ15+('الافتراضات'!$C$73/30)*BJ17*(1-'الافتراضات'!$C$72)-('الافتراضات'!$C$77/30)*BJ24+'الافتراضات'!$C$78</f>
        <v/>
      </c>
      <c r="BK33" s="65">
        <f>('الافتراضات'!$C$74/30)*BK18+('الافتراضات'!$C$75/30)*BK14+('الافتراضات'!$C$76/30)*BK15+('الافتراضات'!$C$73/30)*BK17*(1-'الافتراضات'!$C$72)-('الافتراضات'!$C$77/30)*BK24+'الافتراضات'!$C$78</f>
        <v/>
      </c>
      <c r="BL33" s="65">
        <f>('الافتراضات'!$C$74/30)*BL18+('الافتراضات'!$C$75/30)*BL14+('الافتراضات'!$C$76/30)*BL15+('الافتراضات'!$C$73/30)*BL17*(1-'الافتراضات'!$C$72)-('الافتراضات'!$C$77/30)*BL24+'الافتراضات'!$C$78</f>
        <v/>
      </c>
      <c r="BM33" s="65">
        <f>('الافتراضات'!$C$74/30)*BM18+('الافتراضات'!$C$75/30)*BM14+('الافتراضات'!$C$76/30)*BM15+('الافتراضات'!$C$73/30)*BM17*(1-'الافتراضات'!$C$72)-('الافتراضات'!$C$77/30)*BM24+'الافتراضات'!$C$78</f>
        <v/>
      </c>
      <c r="BN33" s="65">
        <f>('الافتراضات'!$C$74/30)*BN18+('الافتراضات'!$C$75/30)*BN14+('الافتراضات'!$C$76/30)*BN15+('الافتراضات'!$C$73/30)*BN17*(1-'الافتراضات'!$C$72)-('الافتراضات'!$C$77/30)*BN24+'الافتراضات'!$C$78</f>
        <v/>
      </c>
      <c r="BO33" s="65">
        <f>('الافتراضات'!$C$74/30)*BO18+('الافتراضات'!$C$75/30)*BO14+('الافتراضات'!$C$76/30)*BO15+('الافتراضات'!$C$73/30)*BO17*(1-'الافتراضات'!$C$72)-('الافتراضات'!$C$77/30)*BO24+'الافتراضات'!$C$78</f>
        <v/>
      </c>
      <c r="BP33" s="65">
        <f>('الافتراضات'!$C$74/30)*BP18+('الافتراضات'!$C$75/30)*BP14+('الافتراضات'!$C$76/30)*BP15+('الافتراضات'!$C$73/30)*BP17*(1-'الافتراضات'!$C$72)-('الافتراضات'!$C$77/30)*BP24+'الافتراضات'!$C$78</f>
        <v/>
      </c>
      <c r="BQ33" s="65">
        <f>('الافتراضات'!$C$74/30)*BQ18+('الافتراضات'!$C$75/30)*BQ14+('الافتراضات'!$C$76/30)*BQ15+('الافتراضات'!$C$73/30)*BQ17*(1-'الافتراضات'!$C$72)-('الافتراضات'!$C$77/30)*BQ24+'الافتراضات'!$C$78</f>
        <v/>
      </c>
      <c r="BR33" s="65">
        <f>('الافتراضات'!$C$74/30)*BR18+('الافتراضات'!$C$75/30)*BR14+('الافتراضات'!$C$76/30)*BR15+('الافتراضات'!$C$73/30)*BR17*(1-'الافتراضات'!$C$72)-('الافتراضات'!$C$77/30)*BR24+'الافتراضات'!$C$78</f>
        <v/>
      </c>
      <c r="BS33" s="65">
        <f>('الافتراضات'!$C$74/30)*BS18+('الافتراضات'!$C$75/30)*BS14+('الافتراضات'!$C$76/30)*BS15+('الافتراضات'!$C$73/30)*BS17*(1-'الافتراضات'!$C$72)-('الافتراضات'!$C$77/30)*BS24+'الافتراضات'!$C$78</f>
        <v/>
      </c>
      <c r="BT33" s="65">
        <f>('الافتراضات'!$C$74/30)*BT18+('الافتراضات'!$C$75/30)*BT14+('الافتراضات'!$C$76/30)*BT15+('الافتراضات'!$C$73/30)*BT17*(1-'الافتراضات'!$C$72)-('الافتراضات'!$C$77/30)*BT24+'الافتراضات'!$C$78</f>
        <v/>
      </c>
      <c r="BU33" s="65">
        <f>('الافتراضات'!$C$74/30)*BU18+('الافتراضات'!$C$75/30)*BU14+('الافتراضات'!$C$76/30)*BU15+('الافتراضات'!$C$73/30)*BU17*(1-'الافتراضات'!$C$72)-('الافتراضات'!$C$77/30)*BU24+'الافتراضات'!$C$78</f>
        <v/>
      </c>
      <c r="BV33" s="65">
        <f>('الافتراضات'!$C$74/30)*BV18+('الافتراضات'!$C$75/30)*BV14+('الافتراضات'!$C$76/30)*BV15+('الافتراضات'!$C$73/30)*BV17*(1-'الافتراضات'!$C$72)-('الافتراضات'!$C$77/30)*BV24+'الافتراضات'!$C$78</f>
        <v/>
      </c>
      <c r="BW33" s="65">
        <f>('الافتراضات'!$C$74/30)*BW18+('الافتراضات'!$C$75/30)*BW14+('الافتراضات'!$C$76/30)*BW15+('الافتراضات'!$C$73/30)*BW17*(1-'الافتراضات'!$C$72)-('الافتراضات'!$C$77/30)*BW24+'الافتراضات'!$C$78</f>
        <v/>
      </c>
      <c r="BX33" s="65">
        <f>('الافتراضات'!$C$74/30)*BX18+('الافتراضات'!$C$75/30)*BX14+('الافتراضات'!$C$76/30)*BX15+('الافتراضات'!$C$73/30)*BX17*(1-'الافتراضات'!$C$72)-('الافتراضات'!$C$77/30)*BX24+'الافتراضات'!$C$78</f>
        <v/>
      </c>
      <c r="BY33" s="65">
        <f>('الافتراضات'!$C$74/30)*BY18+('الافتراضات'!$C$75/30)*BY14+('الافتراضات'!$C$76/30)*BY15+('الافتراضات'!$C$73/30)*BY17*(1-'الافتراضات'!$C$72)-('الافتراضات'!$C$77/30)*BY24+'الافتراضات'!$C$78</f>
        <v/>
      </c>
      <c r="BZ33" s="65">
        <f>('الافتراضات'!$C$74/30)*BZ18+('الافتراضات'!$C$75/30)*BZ14+('الافتراضات'!$C$76/30)*BZ15+('الافتراضات'!$C$73/30)*BZ17*(1-'الافتراضات'!$C$72)-('الافتراضات'!$C$77/30)*BZ24+'الافتراضات'!$C$78</f>
        <v/>
      </c>
      <c r="CA33" s="65">
        <f>('الافتراضات'!$C$74/30)*CA18+('الافتراضات'!$C$75/30)*CA14+('الافتراضات'!$C$76/30)*CA15+('الافتراضات'!$C$73/30)*CA17*(1-'الافتراضات'!$C$72)-('الافتراضات'!$C$77/30)*CA24+'الافتراضات'!$C$78</f>
        <v/>
      </c>
      <c r="CB33" s="65">
        <f>('الافتراضات'!$C$74/30)*CB18+('الافتراضات'!$C$75/30)*CB14+('الافتراضات'!$C$76/30)*CB15+('الافتراضات'!$C$73/30)*CB17*(1-'الافتراضات'!$C$72)-('الافتراضات'!$C$77/30)*CB24+'الافتراضات'!$C$78</f>
        <v/>
      </c>
      <c r="CC33" s="65">
        <f>('الافتراضات'!$C$74/30)*CC18+('الافتراضات'!$C$75/30)*CC14+('الافتراضات'!$C$76/30)*CC15+('الافتراضات'!$C$73/30)*CC17*(1-'الافتراضات'!$C$72)-('الافتراضات'!$C$77/30)*CC24+'الافتراضات'!$C$78</f>
        <v/>
      </c>
      <c r="CD33" s="65">
        <f>('الافتراضات'!$C$74/30)*CD18+('الافتراضات'!$C$75/30)*CD14+('الافتراضات'!$C$76/30)*CD15+('الافتراضات'!$C$73/30)*CD17*(1-'الافتراضات'!$C$72)-('الافتراضات'!$C$77/30)*CD24+'الافتراضات'!$C$78</f>
        <v/>
      </c>
      <c r="CE33" s="65">
        <f>('الافتراضات'!$C$74/30)*CE18+('الافتراضات'!$C$75/30)*CE14+('الافتراضات'!$C$76/30)*CE15+('الافتراضات'!$C$73/30)*CE17*(1-'الافتراضات'!$C$72)-('الافتراضات'!$C$77/30)*CE24+'الافتراضات'!$C$78</f>
        <v/>
      </c>
      <c r="CF33" s="65">
        <f>('الافتراضات'!$C$74/30)*CF18+('الافتراضات'!$C$75/30)*CF14+('الافتراضات'!$C$76/30)*CF15+('الافتراضات'!$C$73/30)*CF17*(1-'الافتراضات'!$C$72)-('الافتراضات'!$C$77/30)*CF24+'الافتراضات'!$C$78</f>
        <v/>
      </c>
      <c r="CG33" s="65">
        <f>('الافتراضات'!$C$74/30)*CG18+('الافتراضات'!$C$75/30)*CG14+('الافتراضات'!$C$76/30)*CG15+('الافتراضات'!$C$73/30)*CG17*(1-'الافتراضات'!$C$72)-('الافتراضات'!$C$77/30)*CG24+'الافتراضات'!$C$78</f>
        <v/>
      </c>
      <c r="CH33" s="65">
        <f>('الافتراضات'!$C$74/30)*CH18+('الافتراضات'!$C$75/30)*CH14+('الافتراضات'!$C$76/30)*CH15+('الافتراضات'!$C$73/30)*CH17*(1-'الافتراضات'!$C$72)-('الافتراضات'!$C$77/30)*CH24+'الافتراضات'!$C$78</f>
        <v/>
      </c>
      <c r="CI33" s="65">
        <f>('الافتراضات'!$C$74/30)*CI18+('الافتراضات'!$C$75/30)*CI14+('الافتراضات'!$C$76/30)*CI15+('الافتراضات'!$C$73/30)*CI17*(1-'الافتراضات'!$C$72)-('الافتراضات'!$C$77/30)*CI24+'الافتراضات'!$C$78</f>
        <v/>
      </c>
      <c r="CJ33" s="65">
        <f>('الافتراضات'!$C$74/30)*CJ18+('الافتراضات'!$C$75/30)*CJ14+('الافتراضات'!$C$76/30)*CJ15+('الافتراضات'!$C$73/30)*CJ17*(1-'الافتراضات'!$C$72)-('الافتراضات'!$C$77/30)*CJ24+'الافتراضات'!$C$78</f>
        <v/>
      </c>
      <c r="CK33" s="65">
        <f>('الافتراضات'!$C$74/30)*CK18+('الافتراضات'!$C$75/30)*CK14+('الافتراضات'!$C$76/30)*CK15+('الافتراضات'!$C$73/30)*CK17*(1-'الافتراضات'!$C$72)-('الافتراضات'!$C$77/30)*CK24+'الافتراضات'!$C$78</f>
        <v/>
      </c>
      <c r="CL33" s="65">
        <f>('الافتراضات'!$C$74/30)*CL18+('الافتراضات'!$C$75/30)*CL14+('الافتراضات'!$C$76/30)*CL15+('الافتراضات'!$C$73/30)*CL17*(1-'الافتراضات'!$C$72)-('الافتراضات'!$C$77/30)*CL24+'الافتراضات'!$C$78</f>
        <v/>
      </c>
      <c r="CM33" s="65">
        <f>('الافتراضات'!$C$74/30)*CM18+('الافتراضات'!$C$75/30)*CM14+('الافتراضات'!$C$76/30)*CM15+('الافتراضات'!$C$73/30)*CM17*(1-'الافتراضات'!$C$72)-('الافتراضات'!$C$77/30)*CM24+'الافتراضات'!$C$78</f>
        <v/>
      </c>
      <c r="CN33" s="65">
        <f>('الافتراضات'!$C$74/30)*CN18+('الافتراضات'!$C$75/30)*CN14+('الافتراضات'!$C$76/30)*CN15+('الافتراضات'!$C$73/30)*CN17*(1-'الافتراضات'!$C$72)-('الافتراضات'!$C$77/30)*CN24+'الافتراضات'!$C$78</f>
        <v/>
      </c>
      <c r="CO33" s="65">
        <f>('الافتراضات'!$C$74/30)*CO18+('الافتراضات'!$C$75/30)*CO14+('الافتراضات'!$C$76/30)*CO15+('الافتراضات'!$C$73/30)*CO17*(1-'الافتراضات'!$C$72)-('الافتراضات'!$C$77/30)*CO24+'الافتراضات'!$C$78</f>
        <v/>
      </c>
      <c r="CP33" s="65">
        <f>('الافتراضات'!$C$74/30)*CP18+('الافتراضات'!$C$75/30)*CP14+('الافتراضات'!$C$76/30)*CP15+('الافتراضات'!$C$73/30)*CP17*(1-'الافتراضات'!$C$72)-('الافتراضات'!$C$77/30)*CP24+'الافتراضات'!$C$78</f>
        <v/>
      </c>
      <c r="CQ33" s="65">
        <f>('الافتراضات'!$C$74/30)*CQ18+('الافتراضات'!$C$75/30)*CQ14+('الافتراضات'!$C$76/30)*CQ15+('الافتراضات'!$C$73/30)*CQ17*(1-'الافتراضات'!$C$72)-('الافتراضات'!$C$77/30)*CQ24+'الافتراضات'!$C$78</f>
        <v/>
      </c>
      <c r="CR33" s="65">
        <f>('الافتراضات'!$C$74/30)*CR18+('الافتراضات'!$C$75/30)*CR14+('الافتراضات'!$C$76/30)*CR15+('الافتراضات'!$C$73/30)*CR17*(1-'الافتراضات'!$C$72)-('الافتراضات'!$C$77/30)*CR24+'الافتراضات'!$C$78</f>
        <v/>
      </c>
      <c r="CS33" s="65">
        <f>('الافتراضات'!$C$74/30)*CS18+('الافتراضات'!$C$75/30)*CS14+('الافتراضات'!$C$76/30)*CS15+('الافتراضات'!$C$73/30)*CS17*(1-'الافتراضات'!$C$72)-('الافتراضات'!$C$77/30)*CS24+'الافتراضات'!$C$78</f>
        <v/>
      </c>
      <c r="CT33" s="65">
        <f>('الافتراضات'!$C$74/30)*CT18+('الافتراضات'!$C$75/30)*CT14+('الافتراضات'!$C$76/30)*CT15+('الافتراضات'!$C$73/30)*CT17*(1-'الافتراضات'!$C$72)-('الافتراضات'!$C$77/30)*CT24+'الافتراضات'!$C$78</f>
        <v/>
      </c>
      <c r="CU33" s="65">
        <f>('الافتراضات'!$C$74/30)*CU18+('الافتراضات'!$C$75/30)*CU14+('الافتراضات'!$C$76/30)*CU15+('الافتراضات'!$C$73/30)*CU17*(1-'الافتراضات'!$C$72)-('الافتراضات'!$C$77/30)*CU24+'الافتراضات'!$C$78</f>
        <v/>
      </c>
      <c r="CV33" s="65">
        <f>('الافتراضات'!$C$74/30)*CV18+('الافتراضات'!$C$75/30)*CV14+('الافتراضات'!$C$76/30)*CV15+('الافتراضات'!$C$73/30)*CV17*(1-'الافتراضات'!$C$72)-('الافتراضات'!$C$77/30)*CV24+'الافتراضات'!$C$78</f>
        <v/>
      </c>
      <c r="CW33" s="65">
        <f>('الافتراضات'!$C$74/30)*CW18+('الافتراضات'!$C$75/30)*CW14+('الافتراضات'!$C$76/30)*CW15+('الافتراضات'!$C$73/30)*CW17*(1-'الافتراضات'!$C$72)-('الافتراضات'!$C$77/30)*CW24+'الافتراضات'!$C$78</f>
        <v/>
      </c>
      <c r="CX33" s="65">
        <f>('الافتراضات'!$C$74/30)*CX18+('الافتراضات'!$C$75/30)*CX14+('الافتراضات'!$C$76/30)*CX15+('الافتراضات'!$C$73/30)*CX17*(1-'الافتراضات'!$C$72)-('الافتراضات'!$C$77/30)*CX24+'الافتراضات'!$C$78</f>
        <v/>
      </c>
      <c r="CY33" s="65">
        <f>('الافتراضات'!$C$74/30)*CY18+('الافتراضات'!$C$75/30)*CY14+('الافتراضات'!$C$76/30)*CY15+('الافتراضات'!$C$73/30)*CY17*(1-'الافتراضات'!$C$72)-('الافتراضات'!$C$77/30)*CY24+'الافتراضات'!$C$78</f>
        <v/>
      </c>
      <c r="CZ33" s="65">
        <f>('الافتراضات'!$C$74/30)*CZ18+('الافتراضات'!$C$75/30)*CZ14+('الافتراضات'!$C$76/30)*CZ15+('الافتراضات'!$C$73/30)*CZ17*(1-'الافتراضات'!$C$72)-('الافتراضات'!$C$77/30)*CZ24+'الافتراضات'!$C$78</f>
        <v/>
      </c>
      <c r="DA33" s="65">
        <f>('الافتراضات'!$C$74/30)*DA18+('الافتراضات'!$C$75/30)*DA14+('الافتراضات'!$C$76/30)*DA15+('الافتراضات'!$C$73/30)*DA17*(1-'الافتراضات'!$C$72)-('الافتراضات'!$C$77/30)*DA24+'الافتراضات'!$C$78</f>
        <v/>
      </c>
      <c r="DB33" s="65">
        <f>('الافتراضات'!$C$74/30)*DB18+('الافتراضات'!$C$75/30)*DB14+('الافتراضات'!$C$76/30)*DB15+('الافتراضات'!$C$73/30)*DB17*(1-'الافتراضات'!$C$72)-('الافتراضات'!$C$77/30)*DB24+'الافتراضات'!$C$78</f>
        <v/>
      </c>
      <c r="DC33" s="65">
        <f>('الافتراضات'!$C$74/30)*DC18+('الافتراضات'!$C$75/30)*DC14+('الافتراضات'!$C$76/30)*DC15+('الافتراضات'!$C$73/30)*DC17*(1-'الافتراضات'!$C$72)-('الافتراضات'!$C$77/30)*DC24+'الافتراضات'!$C$78</f>
        <v/>
      </c>
      <c r="DD33" s="65">
        <f>('الافتراضات'!$C$74/30)*DD18+('الافتراضات'!$C$75/30)*DD14+('الافتراضات'!$C$76/30)*DD15+('الافتراضات'!$C$73/30)*DD17*(1-'الافتراضات'!$C$72)-('الافتراضات'!$C$77/30)*DD24+'الافتراضات'!$C$78</f>
        <v/>
      </c>
      <c r="DE33" s="65">
        <f>('الافتراضات'!$C$74/30)*DE18+('الافتراضات'!$C$75/30)*DE14+('الافتراضات'!$C$76/30)*DE15+('الافتراضات'!$C$73/30)*DE17*(1-'الافتراضات'!$C$72)-('الافتراضات'!$C$77/30)*DE24+'الافتراضات'!$C$78</f>
        <v/>
      </c>
      <c r="DF33" s="65">
        <f>('الافتراضات'!$C$74/30)*DF18+('الافتراضات'!$C$75/30)*DF14+('الافتراضات'!$C$76/30)*DF15+('الافتراضات'!$C$73/30)*DF17*(1-'الافتراضات'!$C$72)-('الافتراضات'!$C$77/30)*DF24+'الافتراضات'!$C$78</f>
        <v/>
      </c>
      <c r="DG33" s="65">
        <f>('الافتراضات'!$C$74/30)*DG18+('الافتراضات'!$C$75/30)*DG14+('الافتراضات'!$C$76/30)*DG15+('الافتراضات'!$C$73/30)*DG17*(1-'الافتراضات'!$C$72)-('الافتراضات'!$C$77/30)*DG24+'الافتراضات'!$C$78</f>
        <v/>
      </c>
      <c r="DH33" s="65">
        <f>('الافتراضات'!$C$74/30)*DH18+('الافتراضات'!$C$75/30)*DH14+('الافتراضات'!$C$76/30)*DH15+('الافتراضات'!$C$73/30)*DH17*(1-'الافتراضات'!$C$72)-('الافتراضات'!$C$77/30)*DH24+'الافتراضات'!$C$78</f>
        <v/>
      </c>
      <c r="DI33" s="65">
        <f>('الافتراضات'!$C$74/30)*DI18+('الافتراضات'!$C$75/30)*DI14+('الافتراضات'!$C$76/30)*DI15+('الافتراضات'!$C$73/30)*DI17*(1-'الافتراضات'!$C$72)-('الافتراضات'!$C$77/30)*DI24+'الافتراضات'!$C$78</f>
        <v/>
      </c>
      <c r="DJ33" s="65">
        <f>('الافتراضات'!$C$74/30)*DJ18+('الافتراضات'!$C$75/30)*DJ14+('الافتراضات'!$C$76/30)*DJ15+('الافتراضات'!$C$73/30)*DJ17*(1-'الافتراضات'!$C$72)-('الافتراضات'!$C$77/30)*DJ24+'الافتراضات'!$C$78</f>
        <v/>
      </c>
      <c r="DK33" s="65">
        <f>('الافتراضات'!$C$74/30)*DK18+('الافتراضات'!$C$75/30)*DK14+('الافتراضات'!$C$76/30)*DK15+('الافتراضات'!$C$73/30)*DK17*(1-'الافتراضات'!$C$72)-('الافتراضات'!$C$77/30)*DK24+'الافتراضات'!$C$78</f>
        <v/>
      </c>
      <c r="DL33" s="65">
        <f>('الافتراضات'!$C$74/30)*DL18+('الافتراضات'!$C$75/30)*DL14+('الافتراضات'!$C$76/30)*DL15+('الافتراضات'!$C$73/30)*DL17*(1-'الافتراضات'!$C$72)-('الافتراضات'!$C$77/30)*DL24+'الافتراضات'!$C$78</f>
        <v/>
      </c>
      <c r="DM33" s="65">
        <f>('الافتراضات'!$C$74/30)*DM18+('الافتراضات'!$C$75/30)*DM14+('الافتراضات'!$C$76/30)*DM15+('الافتراضات'!$C$73/30)*DM17*(1-'الافتراضات'!$C$72)-('الافتراضات'!$C$77/30)*DM24+'الافتراضات'!$C$78</f>
        <v/>
      </c>
      <c r="DN33" s="65">
        <f>('الافتراضات'!$C$74/30)*DN18+('الافتراضات'!$C$75/30)*DN14+('الافتراضات'!$C$76/30)*DN15+('الافتراضات'!$C$73/30)*DN17*(1-'الافتراضات'!$C$72)-('الافتراضات'!$C$77/30)*DN24+'الافتراضات'!$C$78</f>
        <v/>
      </c>
      <c r="DO33" s="65">
        <f>('الافتراضات'!$C$74/30)*DO18+('الافتراضات'!$C$75/30)*DO14+('الافتراضات'!$C$76/30)*DO15+('الافتراضات'!$C$73/30)*DO17*(1-'الافتراضات'!$C$72)-('الافتراضات'!$C$77/30)*DO24+'الافتراضات'!$C$78</f>
        <v/>
      </c>
      <c r="DP33" s="65">
        <f>('الافتراضات'!$C$74/30)*DP18+('الافتراضات'!$C$75/30)*DP14+('الافتراضات'!$C$76/30)*DP15+('الافتراضات'!$C$73/30)*DP17*(1-'الافتراضات'!$C$72)-('الافتراضات'!$C$77/30)*DP24+'الافتراضات'!$C$78</f>
        <v/>
      </c>
      <c r="DQ33" s="65">
        <f>('الافتراضات'!$C$74/30)*DQ18+('الافتراضات'!$C$75/30)*DQ14+('الافتراضات'!$C$76/30)*DQ15+('الافتراضات'!$C$73/30)*DQ17*(1-'الافتراضات'!$C$72)-('الافتراضات'!$C$77/30)*DQ24+'الافتراضات'!$C$78</f>
        <v/>
      </c>
      <c r="DR33" s="65">
        <f>('الافتراضات'!$C$74/30)*DR18+('الافتراضات'!$C$75/30)*DR14+('الافتراضات'!$C$76/30)*DR15+('الافتراضات'!$C$73/30)*DR17*(1-'الافتراضات'!$C$72)-('الافتراضات'!$C$77/30)*DR24+'الافتراضات'!$C$78</f>
        <v/>
      </c>
      <c r="DS33" s="65">
        <f>('الافتراضات'!$C$74/30)*DS18+('الافتراضات'!$C$75/30)*DS14+('الافتراضات'!$C$76/30)*DS15+('الافتراضات'!$C$73/30)*DS17*(1-'الافتراضات'!$C$72)-('الافتراضات'!$C$77/30)*DS24+'الافتراضات'!$C$78</f>
        <v/>
      </c>
    </row>
    <row r="34">
      <c r="B34" s="22" t="inlineStr">
        <is>
          <t>التغير في رأس المال العامل</t>
        </is>
      </c>
      <c r="C34" s="65">
        <f>0</f>
        <v/>
      </c>
      <c r="D34" s="65">
        <f>D33-C33</f>
        <v/>
      </c>
      <c r="E34" s="65">
        <f>E33-D33</f>
        <v/>
      </c>
      <c r="F34" s="65">
        <f>F33-E33</f>
        <v/>
      </c>
      <c r="G34" s="65">
        <f>G33-F33</f>
        <v/>
      </c>
      <c r="H34" s="65">
        <f>H33-G33</f>
        <v/>
      </c>
      <c r="I34" s="65">
        <f>I33-H33</f>
        <v/>
      </c>
      <c r="J34" s="65">
        <f>J33-I33</f>
        <v/>
      </c>
      <c r="K34" s="65">
        <f>K33-J33</f>
        <v/>
      </c>
      <c r="L34" s="65">
        <f>L33-K33</f>
        <v/>
      </c>
      <c r="M34" s="65">
        <f>M33-L33</f>
        <v/>
      </c>
      <c r="N34" s="65">
        <f>N33-M33</f>
        <v/>
      </c>
      <c r="O34" s="65">
        <f>O33-N33</f>
        <v/>
      </c>
      <c r="P34" s="65">
        <f>P33-O33</f>
        <v/>
      </c>
      <c r="Q34" s="65">
        <f>Q33-P33</f>
        <v/>
      </c>
      <c r="R34" s="65">
        <f>R33-Q33</f>
        <v/>
      </c>
      <c r="S34" s="65">
        <f>S33-R33</f>
        <v/>
      </c>
      <c r="T34" s="65">
        <f>T33-S33</f>
        <v/>
      </c>
      <c r="U34" s="65">
        <f>U33-T33</f>
        <v/>
      </c>
      <c r="V34" s="65">
        <f>V33-U33</f>
        <v/>
      </c>
      <c r="W34" s="65">
        <f>W33-V33</f>
        <v/>
      </c>
      <c r="X34" s="65">
        <f>X33-W33</f>
        <v/>
      </c>
      <c r="Y34" s="65">
        <f>Y33-X33</f>
        <v/>
      </c>
      <c r="Z34" s="65">
        <f>Z33-Y33</f>
        <v/>
      </c>
      <c r="AA34" s="65">
        <f>AA33-Z33</f>
        <v/>
      </c>
      <c r="AB34" s="65">
        <f>AB33-AA33</f>
        <v/>
      </c>
      <c r="AC34" s="65">
        <f>AC33-AB33</f>
        <v/>
      </c>
      <c r="AD34" s="65">
        <f>AD33-AC33</f>
        <v/>
      </c>
      <c r="AE34" s="65">
        <f>AE33-AD33</f>
        <v/>
      </c>
      <c r="AF34" s="65">
        <f>AF33-AE33</f>
        <v/>
      </c>
      <c r="AG34" s="65">
        <f>AG33-AF33</f>
        <v/>
      </c>
      <c r="AH34" s="65">
        <f>AH33-AG33</f>
        <v/>
      </c>
      <c r="AI34" s="65">
        <f>AI33-AH33</f>
        <v/>
      </c>
      <c r="AJ34" s="65">
        <f>AJ33-AI33</f>
        <v/>
      </c>
      <c r="AK34" s="65">
        <f>AK33-AJ33</f>
        <v/>
      </c>
      <c r="AL34" s="65">
        <f>AL33-AK33</f>
        <v/>
      </c>
      <c r="AM34" s="65">
        <f>AM33-AL33</f>
        <v/>
      </c>
      <c r="AN34" s="65">
        <f>AN33-AM33</f>
        <v/>
      </c>
      <c r="AO34" s="65">
        <f>AO33-AN33</f>
        <v/>
      </c>
      <c r="AP34" s="65">
        <f>AP33-AO33</f>
        <v/>
      </c>
      <c r="AQ34" s="65">
        <f>AQ33-AP33</f>
        <v/>
      </c>
      <c r="AR34" s="65">
        <f>AR33-AQ33</f>
        <v/>
      </c>
      <c r="AS34" s="65">
        <f>AS33-AR33</f>
        <v/>
      </c>
      <c r="AT34" s="65">
        <f>AT33-AS33</f>
        <v/>
      </c>
      <c r="AU34" s="65">
        <f>AU33-AT33</f>
        <v/>
      </c>
      <c r="AV34" s="65">
        <f>AV33-AU33</f>
        <v/>
      </c>
      <c r="AW34" s="65">
        <f>AW33-AV33</f>
        <v/>
      </c>
      <c r="AX34" s="65">
        <f>AX33-AW33</f>
        <v/>
      </c>
      <c r="AY34" s="65">
        <f>AY33-AX33</f>
        <v/>
      </c>
      <c r="AZ34" s="65">
        <f>AZ33-AY33</f>
        <v/>
      </c>
      <c r="BA34" s="65">
        <f>BA33-AZ33</f>
        <v/>
      </c>
      <c r="BB34" s="65">
        <f>BB33-BA33</f>
        <v/>
      </c>
      <c r="BC34" s="65">
        <f>BC33-BB33</f>
        <v/>
      </c>
      <c r="BD34" s="65">
        <f>BD33-BC33</f>
        <v/>
      </c>
      <c r="BE34" s="65">
        <f>BE33-BD33</f>
        <v/>
      </c>
      <c r="BF34" s="65">
        <f>BF33-BE33</f>
        <v/>
      </c>
      <c r="BG34" s="65">
        <f>BG33-BF33</f>
        <v/>
      </c>
      <c r="BH34" s="65">
        <f>BH33-BG33</f>
        <v/>
      </c>
      <c r="BI34" s="65">
        <f>BI33-BH33</f>
        <v/>
      </c>
      <c r="BJ34" s="65">
        <f>BJ33-BI33</f>
        <v/>
      </c>
      <c r="BK34" s="65">
        <f>BK33-BJ33</f>
        <v/>
      </c>
      <c r="BL34" s="65">
        <f>BL33-BK33</f>
        <v/>
      </c>
      <c r="BM34" s="65">
        <f>BM33-BL33</f>
        <v/>
      </c>
      <c r="BN34" s="65">
        <f>BN33-BM33</f>
        <v/>
      </c>
      <c r="BO34" s="65">
        <f>BO33-BN33</f>
        <v/>
      </c>
      <c r="BP34" s="65">
        <f>BP33-BO33</f>
        <v/>
      </c>
      <c r="BQ34" s="65">
        <f>BQ33-BP33</f>
        <v/>
      </c>
      <c r="BR34" s="65">
        <f>BR33-BQ33</f>
        <v/>
      </c>
      <c r="BS34" s="65">
        <f>BS33-BR33</f>
        <v/>
      </c>
      <c r="BT34" s="65">
        <f>BT33-BS33</f>
        <v/>
      </c>
      <c r="BU34" s="65">
        <f>BU33-BT33</f>
        <v/>
      </c>
      <c r="BV34" s="65">
        <f>BV33-BU33</f>
        <v/>
      </c>
      <c r="BW34" s="65">
        <f>BW33-BV33</f>
        <v/>
      </c>
      <c r="BX34" s="65">
        <f>BX33-BW33</f>
        <v/>
      </c>
      <c r="BY34" s="65">
        <f>BY33-BX33</f>
        <v/>
      </c>
      <c r="BZ34" s="65">
        <f>BZ33-BY33</f>
        <v/>
      </c>
      <c r="CA34" s="65">
        <f>CA33-BZ33</f>
        <v/>
      </c>
      <c r="CB34" s="65">
        <f>CB33-CA33</f>
        <v/>
      </c>
      <c r="CC34" s="65">
        <f>CC33-CB33</f>
        <v/>
      </c>
      <c r="CD34" s="65">
        <f>CD33-CC33</f>
        <v/>
      </c>
      <c r="CE34" s="65">
        <f>CE33-CD33</f>
        <v/>
      </c>
      <c r="CF34" s="65">
        <f>CF33-CE33</f>
        <v/>
      </c>
      <c r="CG34" s="65">
        <f>CG33-CF33</f>
        <v/>
      </c>
      <c r="CH34" s="65">
        <f>CH33-CG33</f>
        <v/>
      </c>
      <c r="CI34" s="65">
        <f>CI33-CH33</f>
        <v/>
      </c>
      <c r="CJ34" s="65">
        <f>CJ33-CI33</f>
        <v/>
      </c>
      <c r="CK34" s="65">
        <f>CK33-CJ33</f>
        <v/>
      </c>
      <c r="CL34" s="65">
        <f>CL33-CK33</f>
        <v/>
      </c>
      <c r="CM34" s="65">
        <f>CM33-CL33</f>
        <v/>
      </c>
      <c r="CN34" s="65">
        <f>CN33-CM33</f>
        <v/>
      </c>
      <c r="CO34" s="65">
        <f>CO33-CN33</f>
        <v/>
      </c>
      <c r="CP34" s="65">
        <f>CP33-CO33</f>
        <v/>
      </c>
      <c r="CQ34" s="65">
        <f>CQ33-CP33</f>
        <v/>
      </c>
      <c r="CR34" s="65">
        <f>CR33-CQ33</f>
        <v/>
      </c>
      <c r="CS34" s="65">
        <f>CS33-CR33</f>
        <v/>
      </c>
      <c r="CT34" s="65">
        <f>CT33-CS33</f>
        <v/>
      </c>
      <c r="CU34" s="65">
        <f>CU33-CT33</f>
        <v/>
      </c>
      <c r="CV34" s="65">
        <f>CV33-CU33</f>
        <v/>
      </c>
      <c r="CW34" s="65">
        <f>CW33-CV33</f>
        <v/>
      </c>
      <c r="CX34" s="65">
        <f>CX33-CW33</f>
        <v/>
      </c>
      <c r="CY34" s="65">
        <f>CY33-CX33</f>
        <v/>
      </c>
      <c r="CZ34" s="65">
        <f>CZ33-CY33</f>
        <v/>
      </c>
      <c r="DA34" s="65">
        <f>DA33-CZ33</f>
        <v/>
      </c>
      <c r="DB34" s="65">
        <f>DB33-DA33</f>
        <v/>
      </c>
      <c r="DC34" s="65">
        <f>DC33-DB33</f>
        <v/>
      </c>
      <c r="DD34" s="65">
        <f>DD33-DC33</f>
        <v/>
      </c>
      <c r="DE34" s="65">
        <f>DE33-DD33</f>
        <v/>
      </c>
      <c r="DF34" s="65">
        <f>DF33-DE33</f>
        <v/>
      </c>
      <c r="DG34" s="65">
        <f>DG33-DF33</f>
        <v/>
      </c>
      <c r="DH34" s="65">
        <f>DH33-DG33</f>
        <v/>
      </c>
      <c r="DI34" s="65">
        <f>DI33-DH33</f>
        <v/>
      </c>
      <c r="DJ34" s="65">
        <f>DJ33-DI33</f>
        <v/>
      </c>
      <c r="DK34" s="65">
        <f>DK33-DJ33</f>
        <v/>
      </c>
      <c r="DL34" s="65">
        <f>DL33-DK33</f>
        <v/>
      </c>
      <c r="DM34" s="65">
        <f>DM33-DL33</f>
        <v/>
      </c>
      <c r="DN34" s="65">
        <f>DN33-DM33</f>
        <v/>
      </c>
      <c r="DO34" s="65">
        <f>DO33-DN33</f>
        <v/>
      </c>
      <c r="DP34" s="65">
        <f>DP33-DO33</f>
        <v/>
      </c>
      <c r="DQ34" s="65">
        <f>DQ33-DP33</f>
        <v/>
      </c>
      <c r="DR34" s="65">
        <f>DR33-DQ33</f>
        <v/>
      </c>
      <c r="DS34" s="65">
        <f>DS33-DR33</f>
        <v/>
      </c>
    </row>
    <row r="35">
      <c r="B35" s="34" t="inlineStr">
        <is>
          <t>التدفق النقدي الحر (FCF)</t>
        </is>
      </c>
      <c r="C35" s="67">
        <f>-'CAPEX'!$C$44</f>
        <v/>
      </c>
      <c r="D35" s="67">
        <f>D27-D32-D34</f>
        <v/>
      </c>
      <c r="E35" s="67">
        <f>E27-E32-E34</f>
        <v/>
      </c>
      <c r="F35" s="67">
        <f>F27-F32-F34</f>
        <v/>
      </c>
      <c r="G35" s="67">
        <f>G27-G32-G34</f>
        <v/>
      </c>
      <c r="H35" s="67">
        <f>H27-H32-H34</f>
        <v/>
      </c>
      <c r="I35" s="67">
        <f>I27-I32-I34</f>
        <v/>
      </c>
      <c r="J35" s="67">
        <f>J27-J32-J34</f>
        <v/>
      </c>
      <c r="K35" s="67">
        <f>K27-K32-K34</f>
        <v/>
      </c>
      <c r="L35" s="67">
        <f>L27-L32-L34</f>
        <v/>
      </c>
      <c r="M35" s="67">
        <f>M27-M32-M34</f>
        <v/>
      </c>
      <c r="N35" s="67">
        <f>N27-N32-N34</f>
        <v/>
      </c>
      <c r="O35" s="67">
        <f>O27-O32-O34</f>
        <v/>
      </c>
      <c r="P35" s="67">
        <f>P27-P32-P34</f>
        <v/>
      </c>
      <c r="Q35" s="67">
        <f>Q27-Q32-Q34</f>
        <v/>
      </c>
      <c r="R35" s="67">
        <f>R27-R32-R34</f>
        <v/>
      </c>
      <c r="S35" s="67">
        <f>S27-S32-S34</f>
        <v/>
      </c>
      <c r="T35" s="67">
        <f>T27-T32-T34</f>
        <v/>
      </c>
      <c r="U35" s="67">
        <f>U27-U32-U34</f>
        <v/>
      </c>
      <c r="V35" s="67">
        <f>V27-V32-V34</f>
        <v/>
      </c>
      <c r="W35" s="67">
        <f>W27-W32-W34</f>
        <v/>
      </c>
      <c r="X35" s="67">
        <f>X27-X32-X34</f>
        <v/>
      </c>
      <c r="Y35" s="67">
        <f>Y27-Y32-Y34</f>
        <v/>
      </c>
      <c r="Z35" s="67">
        <f>Z27-Z32-Z34</f>
        <v/>
      </c>
      <c r="AA35" s="67">
        <f>AA27-AA32-AA34</f>
        <v/>
      </c>
      <c r="AB35" s="67">
        <f>AB27-AB32-AB34</f>
        <v/>
      </c>
      <c r="AC35" s="67">
        <f>AC27-AC32-AC34</f>
        <v/>
      </c>
      <c r="AD35" s="67">
        <f>AD27-AD32-AD34</f>
        <v/>
      </c>
      <c r="AE35" s="67">
        <f>AE27-AE32-AE34</f>
        <v/>
      </c>
      <c r="AF35" s="67">
        <f>AF27-AF32-AF34</f>
        <v/>
      </c>
      <c r="AG35" s="67">
        <f>AG27-AG32-AG34</f>
        <v/>
      </c>
      <c r="AH35" s="67">
        <f>AH27-AH32-AH34</f>
        <v/>
      </c>
      <c r="AI35" s="67">
        <f>AI27-AI32-AI34</f>
        <v/>
      </c>
      <c r="AJ35" s="67">
        <f>AJ27-AJ32-AJ34</f>
        <v/>
      </c>
      <c r="AK35" s="67">
        <f>AK27-AK32-AK34</f>
        <v/>
      </c>
      <c r="AL35" s="67">
        <f>AL27-AL32-AL34</f>
        <v/>
      </c>
      <c r="AM35" s="67">
        <f>AM27-AM32-AM34</f>
        <v/>
      </c>
      <c r="AN35" s="67">
        <f>AN27-AN32-AN34</f>
        <v/>
      </c>
      <c r="AO35" s="67">
        <f>AO27-AO32-AO34</f>
        <v/>
      </c>
      <c r="AP35" s="67">
        <f>AP27-AP32-AP34</f>
        <v/>
      </c>
      <c r="AQ35" s="67">
        <f>AQ27-AQ32-AQ34</f>
        <v/>
      </c>
      <c r="AR35" s="67">
        <f>AR27-AR32-AR34</f>
        <v/>
      </c>
      <c r="AS35" s="67">
        <f>AS27-AS32-AS34</f>
        <v/>
      </c>
      <c r="AT35" s="67">
        <f>AT27-AT32-AT34</f>
        <v/>
      </c>
      <c r="AU35" s="67">
        <f>AU27-AU32-AU34</f>
        <v/>
      </c>
      <c r="AV35" s="67">
        <f>AV27-AV32-AV34</f>
        <v/>
      </c>
      <c r="AW35" s="67">
        <f>AW27-AW32-AW34</f>
        <v/>
      </c>
      <c r="AX35" s="67">
        <f>AX27-AX32-AX34</f>
        <v/>
      </c>
      <c r="AY35" s="67">
        <f>AY27-AY32-AY34</f>
        <v/>
      </c>
      <c r="AZ35" s="67">
        <f>AZ27-AZ32-AZ34</f>
        <v/>
      </c>
      <c r="BA35" s="67">
        <f>BA27-BA32-BA34</f>
        <v/>
      </c>
      <c r="BB35" s="67">
        <f>BB27-BB32-BB34</f>
        <v/>
      </c>
      <c r="BC35" s="67">
        <f>BC27-BC32-BC34</f>
        <v/>
      </c>
      <c r="BD35" s="67">
        <f>BD27-BD32-BD34</f>
        <v/>
      </c>
      <c r="BE35" s="67">
        <f>BE27-BE32-BE34</f>
        <v/>
      </c>
      <c r="BF35" s="67">
        <f>BF27-BF32-BF34</f>
        <v/>
      </c>
      <c r="BG35" s="67">
        <f>BG27-BG32-BG34</f>
        <v/>
      </c>
      <c r="BH35" s="67">
        <f>BH27-BH32-BH34</f>
        <v/>
      </c>
      <c r="BI35" s="67">
        <f>BI27-BI32-BI34</f>
        <v/>
      </c>
      <c r="BJ35" s="67">
        <f>BJ27-BJ32-BJ34</f>
        <v/>
      </c>
      <c r="BK35" s="67">
        <f>BK27-BK32-BK34</f>
        <v/>
      </c>
      <c r="BL35" s="67">
        <f>BL27-BL32-BL34</f>
        <v/>
      </c>
      <c r="BM35" s="67">
        <f>BM27-BM32-BM34</f>
        <v/>
      </c>
      <c r="BN35" s="67">
        <f>BN27-BN32-BN34</f>
        <v/>
      </c>
      <c r="BO35" s="67">
        <f>BO27-BO32-BO34</f>
        <v/>
      </c>
      <c r="BP35" s="67">
        <f>BP27-BP32-BP34</f>
        <v/>
      </c>
      <c r="BQ35" s="67">
        <f>BQ27-BQ32-BQ34</f>
        <v/>
      </c>
      <c r="BR35" s="67">
        <f>BR27-BR32-BR34</f>
        <v/>
      </c>
      <c r="BS35" s="67">
        <f>BS27-BS32-BS34</f>
        <v/>
      </c>
      <c r="BT35" s="67">
        <f>BT27-BT32-BT34</f>
        <v/>
      </c>
      <c r="BU35" s="67">
        <f>BU27-BU32-BU34</f>
        <v/>
      </c>
      <c r="BV35" s="67">
        <f>BV27-BV32-BV34</f>
        <v/>
      </c>
      <c r="BW35" s="67">
        <f>BW27-BW32-BW34</f>
        <v/>
      </c>
      <c r="BX35" s="67">
        <f>BX27-BX32-BX34</f>
        <v/>
      </c>
      <c r="BY35" s="67">
        <f>BY27-BY32-BY34</f>
        <v/>
      </c>
      <c r="BZ35" s="67">
        <f>BZ27-BZ32-BZ34</f>
        <v/>
      </c>
      <c r="CA35" s="67">
        <f>CA27-CA32-CA34</f>
        <v/>
      </c>
      <c r="CB35" s="67">
        <f>CB27-CB32-CB34</f>
        <v/>
      </c>
      <c r="CC35" s="67">
        <f>CC27-CC32-CC34</f>
        <v/>
      </c>
      <c r="CD35" s="67">
        <f>CD27-CD32-CD34</f>
        <v/>
      </c>
      <c r="CE35" s="67">
        <f>CE27-CE32-CE34</f>
        <v/>
      </c>
      <c r="CF35" s="67">
        <f>CF27-CF32-CF34</f>
        <v/>
      </c>
      <c r="CG35" s="67">
        <f>CG27-CG32-CG34</f>
        <v/>
      </c>
      <c r="CH35" s="67">
        <f>CH27-CH32-CH34</f>
        <v/>
      </c>
      <c r="CI35" s="67">
        <f>CI27-CI32-CI34</f>
        <v/>
      </c>
      <c r="CJ35" s="67">
        <f>CJ27-CJ32-CJ34</f>
        <v/>
      </c>
      <c r="CK35" s="67">
        <f>CK27-CK32-CK34</f>
        <v/>
      </c>
      <c r="CL35" s="67">
        <f>CL27-CL32-CL34</f>
        <v/>
      </c>
      <c r="CM35" s="67">
        <f>CM27-CM32-CM34</f>
        <v/>
      </c>
      <c r="CN35" s="67">
        <f>CN27-CN32-CN34</f>
        <v/>
      </c>
      <c r="CO35" s="67">
        <f>CO27-CO32-CO34</f>
        <v/>
      </c>
      <c r="CP35" s="67">
        <f>CP27-CP32-CP34</f>
        <v/>
      </c>
      <c r="CQ35" s="67">
        <f>CQ27-CQ32-CQ34</f>
        <v/>
      </c>
      <c r="CR35" s="67">
        <f>CR27-CR32-CR34</f>
        <v/>
      </c>
      <c r="CS35" s="67">
        <f>CS27-CS32-CS34</f>
        <v/>
      </c>
      <c r="CT35" s="67">
        <f>CT27-CT32-CT34</f>
        <v/>
      </c>
      <c r="CU35" s="67">
        <f>CU27-CU32-CU34</f>
        <v/>
      </c>
      <c r="CV35" s="67">
        <f>CV27-CV32-CV34</f>
        <v/>
      </c>
      <c r="CW35" s="67">
        <f>CW27-CW32-CW34</f>
        <v/>
      </c>
      <c r="CX35" s="67">
        <f>CX27-CX32-CX34</f>
        <v/>
      </c>
      <c r="CY35" s="67">
        <f>CY27-CY32-CY34</f>
        <v/>
      </c>
      <c r="CZ35" s="67">
        <f>CZ27-CZ32-CZ34</f>
        <v/>
      </c>
      <c r="DA35" s="67">
        <f>DA27-DA32-DA34</f>
        <v/>
      </c>
      <c r="DB35" s="67">
        <f>DB27-DB32-DB34</f>
        <v/>
      </c>
      <c r="DC35" s="67">
        <f>DC27-DC32-DC34</f>
        <v/>
      </c>
      <c r="DD35" s="67">
        <f>DD27-DD32-DD34</f>
        <v/>
      </c>
      <c r="DE35" s="67">
        <f>DE27-DE32-DE34</f>
        <v/>
      </c>
      <c r="DF35" s="67">
        <f>DF27-DF32-DF34</f>
        <v/>
      </c>
      <c r="DG35" s="67">
        <f>DG27-DG32-DG34</f>
        <v/>
      </c>
      <c r="DH35" s="67">
        <f>DH27-DH32-DH34</f>
        <v/>
      </c>
      <c r="DI35" s="67">
        <f>DI27-DI32-DI34</f>
        <v/>
      </c>
      <c r="DJ35" s="67">
        <f>DJ27-DJ32-DJ34</f>
        <v/>
      </c>
      <c r="DK35" s="67">
        <f>DK27-DK32-DK34</f>
        <v/>
      </c>
      <c r="DL35" s="67">
        <f>DL27-DL32-DL34</f>
        <v/>
      </c>
      <c r="DM35" s="67">
        <f>DM27-DM32-DM34</f>
        <v/>
      </c>
      <c r="DN35" s="67">
        <f>DN27-DN32-DN34</f>
        <v/>
      </c>
      <c r="DO35" s="67">
        <f>DO27-DO32-DO34</f>
        <v/>
      </c>
      <c r="DP35" s="67">
        <f>DP27-DP32-DP34</f>
        <v/>
      </c>
      <c r="DQ35" s="67">
        <f>DQ27-DQ32-DQ34</f>
        <v/>
      </c>
      <c r="DR35" s="67">
        <f>DR27-DR32-DR34</f>
        <v/>
      </c>
      <c r="DS35" s="67">
        <f>DS27-DS32-DS34+DS33+'CAPEX'!$C$49</f>
        <v/>
      </c>
    </row>
    <row r="36">
      <c r="B36" s="34" t="inlineStr">
        <is>
          <t>التدفق النقدي التراكمي</t>
        </is>
      </c>
      <c r="C36" s="67">
        <f>C35</f>
        <v/>
      </c>
      <c r="D36" s="67">
        <f>C36+D35</f>
        <v/>
      </c>
      <c r="E36" s="67">
        <f>D36+E35</f>
        <v/>
      </c>
      <c r="F36" s="67">
        <f>E36+F35</f>
        <v/>
      </c>
      <c r="G36" s="67">
        <f>F36+G35</f>
        <v/>
      </c>
      <c r="H36" s="67">
        <f>G36+H35</f>
        <v/>
      </c>
      <c r="I36" s="67">
        <f>H36+I35</f>
        <v/>
      </c>
      <c r="J36" s="67">
        <f>I36+J35</f>
        <v/>
      </c>
      <c r="K36" s="67">
        <f>J36+K35</f>
        <v/>
      </c>
      <c r="L36" s="67">
        <f>K36+L35</f>
        <v/>
      </c>
      <c r="M36" s="67">
        <f>L36+M35</f>
        <v/>
      </c>
      <c r="N36" s="67">
        <f>M36+N35</f>
        <v/>
      </c>
      <c r="O36" s="67">
        <f>N36+O35</f>
        <v/>
      </c>
      <c r="P36" s="67">
        <f>O36+P35</f>
        <v/>
      </c>
      <c r="Q36" s="67">
        <f>P36+Q35</f>
        <v/>
      </c>
      <c r="R36" s="67">
        <f>Q36+R35</f>
        <v/>
      </c>
      <c r="S36" s="67">
        <f>R36+S35</f>
        <v/>
      </c>
      <c r="T36" s="67">
        <f>S36+T35</f>
        <v/>
      </c>
      <c r="U36" s="67">
        <f>T36+U35</f>
        <v/>
      </c>
      <c r="V36" s="67">
        <f>U36+V35</f>
        <v/>
      </c>
      <c r="W36" s="67">
        <f>V36+W35</f>
        <v/>
      </c>
      <c r="X36" s="67">
        <f>W36+X35</f>
        <v/>
      </c>
      <c r="Y36" s="67">
        <f>X36+Y35</f>
        <v/>
      </c>
      <c r="Z36" s="67">
        <f>Y36+Z35</f>
        <v/>
      </c>
      <c r="AA36" s="67">
        <f>Z36+AA35</f>
        <v/>
      </c>
      <c r="AB36" s="67">
        <f>AA36+AB35</f>
        <v/>
      </c>
      <c r="AC36" s="67">
        <f>AB36+AC35</f>
        <v/>
      </c>
      <c r="AD36" s="67">
        <f>AC36+AD35</f>
        <v/>
      </c>
      <c r="AE36" s="67">
        <f>AD36+AE35</f>
        <v/>
      </c>
      <c r="AF36" s="67">
        <f>AE36+AF35</f>
        <v/>
      </c>
      <c r="AG36" s="67">
        <f>AF36+AG35</f>
        <v/>
      </c>
      <c r="AH36" s="67">
        <f>AG36+AH35</f>
        <v/>
      </c>
      <c r="AI36" s="67">
        <f>AH36+AI35</f>
        <v/>
      </c>
      <c r="AJ36" s="67">
        <f>AI36+AJ35</f>
        <v/>
      </c>
      <c r="AK36" s="67">
        <f>AJ36+AK35</f>
        <v/>
      </c>
      <c r="AL36" s="67">
        <f>AK36+AL35</f>
        <v/>
      </c>
      <c r="AM36" s="67">
        <f>AL36+AM35</f>
        <v/>
      </c>
      <c r="AN36" s="67">
        <f>AM36+AN35</f>
        <v/>
      </c>
      <c r="AO36" s="67">
        <f>AN36+AO35</f>
        <v/>
      </c>
      <c r="AP36" s="67">
        <f>AO36+AP35</f>
        <v/>
      </c>
      <c r="AQ36" s="67">
        <f>AP36+AQ35</f>
        <v/>
      </c>
      <c r="AR36" s="67">
        <f>AQ36+AR35</f>
        <v/>
      </c>
      <c r="AS36" s="67">
        <f>AR36+AS35</f>
        <v/>
      </c>
      <c r="AT36" s="67">
        <f>AS36+AT35</f>
        <v/>
      </c>
      <c r="AU36" s="67">
        <f>AT36+AU35</f>
        <v/>
      </c>
      <c r="AV36" s="67">
        <f>AU36+AV35</f>
        <v/>
      </c>
      <c r="AW36" s="67">
        <f>AV36+AW35</f>
        <v/>
      </c>
      <c r="AX36" s="67">
        <f>AW36+AX35</f>
        <v/>
      </c>
      <c r="AY36" s="67">
        <f>AX36+AY35</f>
        <v/>
      </c>
      <c r="AZ36" s="67">
        <f>AY36+AZ35</f>
        <v/>
      </c>
      <c r="BA36" s="67">
        <f>AZ36+BA35</f>
        <v/>
      </c>
      <c r="BB36" s="67">
        <f>BA36+BB35</f>
        <v/>
      </c>
      <c r="BC36" s="67">
        <f>BB36+BC35</f>
        <v/>
      </c>
      <c r="BD36" s="67">
        <f>BC36+BD35</f>
        <v/>
      </c>
      <c r="BE36" s="67">
        <f>BD36+BE35</f>
        <v/>
      </c>
      <c r="BF36" s="67">
        <f>BE36+BF35</f>
        <v/>
      </c>
      <c r="BG36" s="67">
        <f>BF36+BG35</f>
        <v/>
      </c>
      <c r="BH36" s="67">
        <f>BG36+BH35</f>
        <v/>
      </c>
      <c r="BI36" s="67">
        <f>BH36+BI35</f>
        <v/>
      </c>
      <c r="BJ36" s="67">
        <f>BI36+BJ35</f>
        <v/>
      </c>
      <c r="BK36" s="67">
        <f>BJ36+BK35</f>
        <v/>
      </c>
      <c r="BL36" s="67">
        <f>BK36+BL35</f>
        <v/>
      </c>
      <c r="BM36" s="67">
        <f>BL36+BM35</f>
        <v/>
      </c>
      <c r="BN36" s="67">
        <f>BM36+BN35</f>
        <v/>
      </c>
      <c r="BO36" s="67">
        <f>BN36+BO35</f>
        <v/>
      </c>
      <c r="BP36" s="67">
        <f>BO36+BP35</f>
        <v/>
      </c>
      <c r="BQ36" s="67">
        <f>BP36+BQ35</f>
        <v/>
      </c>
      <c r="BR36" s="67">
        <f>BQ36+BR35</f>
        <v/>
      </c>
      <c r="BS36" s="67">
        <f>BR36+BS35</f>
        <v/>
      </c>
      <c r="BT36" s="67">
        <f>BS36+BT35</f>
        <v/>
      </c>
      <c r="BU36" s="67">
        <f>BT36+BU35</f>
        <v/>
      </c>
      <c r="BV36" s="67">
        <f>BU36+BV35</f>
        <v/>
      </c>
      <c r="BW36" s="67">
        <f>BV36+BW35</f>
        <v/>
      </c>
      <c r="BX36" s="67">
        <f>BW36+BX35</f>
        <v/>
      </c>
      <c r="BY36" s="67">
        <f>BX36+BY35</f>
        <v/>
      </c>
      <c r="BZ36" s="67">
        <f>BY36+BZ35</f>
        <v/>
      </c>
      <c r="CA36" s="67">
        <f>BZ36+CA35</f>
        <v/>
      </c>
      <c r="CB36" s="67">
        <f>CA36+CB35</f>
        <v/>
      </c>
      <c r="CC36" s="67">
        <f>CB36+CC35</f>
        <v/>
      </c>
      <c r="CD36" s="67">
        <f>CC36+CD35</f>
        <v/>
      </c>
      <c r="CE36" s="67">
        <f>CD36+CE35</f>
        <v/>
      </c>
      <c r="CF36" s="67">
        <f>CE36+CF35</f>
        <v/>
      </c>
      <c r="CG36" s="67">
        <f>CF36+CG35</f>
        <v/>
      </c>
      <c r="CH36" s="67">
        <f>CG36+CH35</f>
        <v/>
      </c>
      <c r="CI36" s="67">
        <f>CH36+CI35</f>
        <v/>
      </c>
      <c r="CJ36" s="67">
        <f>CI36+CJ35</f>
        <v/>
      </c>
      <c r="CK36" s="67">
        <f>CJ36+CK35</f>
        <v/>
      </c>
      <c r="CL36" s="67">
        <f>CK36+CL35</f>
        <v/>
      </c>
      <c r="CM36" s="67">
        <f>CL36+CM35</f>
        <v/>
      </c>
      <c r="CN36" s="67">
        <f>CM36+CN35</f>
        <v/>
      </c>
      <c r="CO36" s="67">
        <f>CN36+CO35</f>
        <v/>
      </c>
      <c r="CP36" s="67">
        <f>CO36+CP35</f>
        <v/>
      </c>
      <c r="CQ36" s="67">
        <f>CP36+CQ35</f>
        <v/>
      </c>
      <c r="CR36" s="67">
        <f>CQ36+CR35</f>
        <v/>
      </c>
      <c r="CS36" s="67">
        <f>CR36+CS35</f>
        <v/>
      </c>
      <c r="CT36" s="67">
        <f>CS36+CT35</f>
        <v/>
      </c>
      <c r="CU36" s="67">
        <f>CT36+CU35</f>
        <v/>
      </c>
      <c r="CV36" s="67">
        <f>CU36+CV35</f>
        <v/>
      </c>
      <c r="CW36" s="67">
        <f>CV36+CW35</f>
        <v/>
      </c>
      <c r="CX36" s="67">
        <f>CW36+CX35</f>
        <v/>
      </c>
      <c r="CY36" s="67">
        <f>CX36+CY35</f>
        <v/>
      </c>
      <c r="CZ36" s="67">
        <f>CY36+CZ35</f>
        <v/>
      </c>
      <c r="DA36" s="67">
        <f>CZ36+DA35</f>
        <v/>
      </c>
      <c r="DB36" s="67">
        <f>DA36+DB35</f>
        <v/>
      </c>
      <c r="DC36" s="67">
        <f>DB36+DC35</f>
        <v/>
      </c>
      <c r="DD36" s="67">
        <f>DC36+DD35</f>
        <v/>
      </c>
      <c r="DE36" s="67">
        <f>DD36+DE35</f>
        <v/>
      </c>
      <c r="DF36" s="67">
        <f>DE36+DF35</f>
        <v/>
      </c>
      <c r="DG36" s="67">
        <f>DF36+DG35</f>
        <v/>
      </c>
      <c r="DH36" s="67">
        <f>DG36+DH35</f>
        <v/>
      </c>
      <c r="DI36" s="67">
        <f>DH36+DI35</f>
        <v/>
      </c>
      <c r="DJ36" s="67">
        <f>DI36+DJ35</f>
        <v/>
      </c>
      <c r="DK36" s="67">
        <f>DJ36+DK35</f>
        <v/>
      </c>
      <c r="DL36" s="67">
        <f>DK36+DL35</f>
        <v/>
      </c>
      <c r="DM36" s="67">
        <f>DL36+DM35</f>
        <v/>
      </c>
      <c r="DN36" s="67">
        <f>DM36+DN35</f>
        <v/>
      </c>
      <c r="DO36" s="67">
        <f>DN36+DO35</f>
        <v/>
      </c>
      <c r="DP36" s="67">
        <f>DO36+DP35</f>
        <v/>
      </c>
      <c r="DQ36" s="67">
        <f>DP36+DQ35</f>
        <v/>
      </c>
      <c r="DR36" s="67">
        <f>DQ36+DR35</f>
        <v/>
      </c>
      <c r="DS36" s="67">
        <f>DR36+DS35</f>
        <v/>
      </c>
    </row>
  </sheetData>
  <mergeCells count="1">
    <mergeCell ref="B1:DT1"/>
  </mergeCells>
  <pageMargins left="0.75" right="0.75" top="1" bottom="1" header="0.5" footer="0.5"/>
</worksheet>
</file>

<file path=xl/worksheets/sheet8.xml><?xml version="1.0" encoding="utf-8"?>
<worksheet xmlns="http://schemas.openxmlformats.org/spreadsheetml/2006/main">
  <sheetPr>
    <tabColor rgb="00FFD966"/>
    <outlinePr summaryBelow="1" summaryRight="1"/>
    <pageSetUpPr/>
  </sheetPr>
  <dimension ref="B1:M24"/>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46"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s>
  <sheetData>
    <row r="1" ht="30" customHeight="1">
      <c r="B1" s="25" t="inlineStr">
        <is>
          <t>التدفق النقدي السنوي — 10 سنوات (مجمّع من ورقة التدفق الشهري)</t>
        </is>
      </c>
      <c r="C1" s="2" t="n"/>
      <c r="D1" s="2" t="n"/>
      <c r="E1" s="2" t="n"/>
      <c r="F1" s="2" t="n"/>
      <c r="G1" s="2" t="n"/>
      <c r="H1" s="2" t="n"/>
      <c r="I1" s="2" t="n"/>
      <c r="J1" s="2" t="n"/>
      <c r="K1" s="2" t="n"/>
      <c r="L1" s="2" t="n"/>
      <c r="M1" s="2" t="n"/>
    </row>
    <row r="2">
      <c r="B2" s="26" t="inlineStr">
        <is>
          <t>كل الأرقام مجمّعة من نموذج الـ120 شهراً ⇒ لا تعارض بين النموذجين. السنة 0 = الاستثمار التأسيسي ورأس المال العامل.</t>
        </is>
      </c>
    </row>
    <row r="4">
      <c r="B4" s="34" t="inlineStr">
        <is>
          <t>السنة</t>
        </is>
      </c>
      <c r="C4" s="68" t="n">
        <v>0</v>
      </c>
      <c r="D4" s="68" t="n">
        <v>1</v>
      </c>
      <c r="E4" s="68" t="n">
        <v>2</v>
      </c>
      <c r="F4" s="68" t="n">
        <v>3</v>
      </c>
      <c r="G4" s="68" t="n">
        <v>4</v>
      </c>
      <c r="H4" s="68" t="n">
        <v>5</v>
      </c>
      <c r="I4" s="68" t="n">
        <v>6</v>
      </c>
      <c r="J4" s="68" t="n">
        <v>7</v>
      </c>
      <c r="K4" s="68" t="n">
        <v>8</v>
      </c>
      <c r="L4" s="68" t="n">
        <v>9</v>
      </c>
      <c r="M4" s="68" t="n">
        <v>10</v>
      </c>
    </row>
    <row r="5">
      <c r="B5" s="22" t="inlineStr">
        <is>
          <t>معامل الخصم</t>
        </is>
      </c>
      <c r="C5" s="53">
        <f>1</f>
        <v/>
      </c>
      <c r="D5" s="53">
        <f>1/POWER(1+'الافتراضات'!$F$28,D4)</f>
        <v/>
      </c>
      <c r="E5" s="53">
        <f>1/POWER(1+'الافتراضات'!$F$28,E4)</f>
        <v/>
      </c>
      <c r="F5" s="53">
        <f>1/POWER(1+'الافتراضات'!$F$28,F4)</f>
        <v/>
      </c>
      <c r="G5" s="53">
        <f>1/POWER(1+'الافتراضات'!$F$28,G4)</f>
        <v/>
      </c>
      <c r="H5" s="53">
        <f>1/POWER(1+'الافتراضات'!$F$28,H4)</f>
        <v/>
      </c>
      <c r="I5" s="53">
        <f>1/POWER(1+'الافتراضات'!$F$28,I4)</f>
        <v/>
      </c>
      <c r="J5" s="53">
        <f>1/POWER(1+'الافتراضات'!$F$28,J4)</f>
        <v/>
      </c>
      <c r="K5" s="53">
        <f>1/POWER(1+'الافتراضات'!$F$28,K4)</f>
        <v/>
      </c>
      <c r="L5" s="53">
        <f>1/POWER(1+'الافتراضات'!$F$28,L4)</f>
        <v/>
      </c>
      <c r="M5" s="53">
        <f>1/POWER(1+'الافتراضات'!$F$28,M4)</f>
        <v/>
      </c>
    </row>
    <row r="6">
      <c r="B6" s="22" t="inlineStr">
        <is>
          <t>رصيد رأس المال العامل (نهاية السنة)</t>
        </is>
      </c>
      <c r="C6" s="44" t="n">
        <v>0</v>
      </c>
      <c r="D6" s="44">
        <f>'التدفق_الشهري'!O33</f>
        <v/>
      </c>
      <c r="E6" s="44">
        <f>'التدفق_الشهري'!AA33</f>
        <v/>
      </c>
      <c r="F6" s="44">
        <f>'التدفق_الشهري'!AM33</f>
        <v/>
      </c>
      <c r="G6" s="44">
        <f>'التدفق_الشهري'!AY33</f>
        <v/>
      </c>
      <c r="H6" s="44">
        <f>'التدفق_الشهري'!BK33</f>
        <v/>
      </c>
      <c r="I6" s="44">
        <f>'التدفق_الشهري'!BW33</f>
        <v/>
      </c>
      <c r="J6" s="44">
        <f>'التدفق_الشهري'!CI33</f>
        <v/>
      </c>
      <c r="K6" s="44">
        <f>'التدفق_الشهري'!CU33</f>
        <v/>
      </c>
      <c r="L6" s="44">
        <f>'التدفق_الشهري'!DG33</f>
        <v/>
      </c>
      <c r="M6" s="44">
        <f>'التدفق_الشهري'!DS33</f>
        <v/>
      </c>
    </row>
    <row r="7">
      <c r="B7" s="22" t="inlineStr">
        <is>
          <t>الشعير المعالج (طن)</t>
        </is>
      </c>
      <c r="C7" s="47" t="n">
        <v>0</v>
      </c>
      <c r="D7" s="47">
        <f>SUM('التدفق_الشهري'!D8:O8)</f>
        <v/>
      </c>
      <c r="E7" s="47">
        <f>SUM('التدفق_الشهري'!P8:AA8)</f>
        <v/>
      </c>
      <c r="F7" s="47">
        <f>SUM('التدفق_الشهري'!AB8:AM8)</f>
        <v/>
      </c>
      <c r="G7" s="47">
        <f>SUM('التدفق_الشهري'!AN8:AY8)</f>
        <v/>
      </c>
      <c r="H7" s="47">
        <f>SUM('التدفق_الشهري'!AZ8:BK8)</f>
        <v/>
      </c>
      <c r="I7" s="47">
        <f>SUM('التدفق_الشهري'!BL8:BW8)</f>
        <v/>
      </c>
      <c r="J7" s="47">
        <f>SUM('التدفق_الشهري'!BX8:CI8)</f>
        <v/>
      </c>
      <c r="K7" s="47">
        <f>SUM('التدفق_الشهري'!CJ8:CU8)</f>
        <v/>
      </c>
      <c r="L7" s="47">
        <f>SUM('التدفق_الشهري'!CV8:DG8)</f>
        <v/>
      </c>
      <c r="M7" s="47">
        <f>SUM('التدفق_الشهري'!DH8:DS8)</f>
        <v/>
      </c>
    </row>
    <row r="8">
      <c r="B8" s="22" t="inlineStr">
        <is>
          <t>الأرز الأبيض (طن)</t>
        </is>
      </c>
      <c r="C8" s="47" t="n">
        <v>0</v>
      </c>
      <c r="D8" s="47">
        <f>SUM('التدفق_الشهري'!D9:O9)</f>
        <v/>
      </c>
      <c r="E8" s="47">
        <f>SUM('التدفق_الشهري'!P9:AA9)</f>
        <v/>
      </c>
      <c r="F8" s="47">
        <f>SUM('التدفق_الشهري'!AB9:AM9)</f>
        <v/>
      </c>
      <c r="G8" s="47">
        <f>SUM('التدفق_الشهري'!AN9:AY9)</f>
        <v/>
      </c>
      <c r="H8" s="47">
        <f>SUM('التدفق_الشهري'!AZ9:BK9)</f>
        <v/>
      </c>
      <c r="I8" s="47">
        <f>SUM('التدفق_الشهري'!BL9:BW9)</f>
        <v/>
      </c>
      <c r="J8" s="47">
        <f>SUM('التدفق_الشهري'!BX9:CI9)</f>
        <v/>
      </c>
      <c r="K8" s="47">
        <f>SUM('التدفق_الشهري'!CJ9:CU9)</f>
        <v/>
      </c>
      <c r="L8" s="47">
        <f>SUM('التدفق_الشهري'!CV9:DG9)</f>
        <v/>
      </c>
      <c r="M8" s="47">
        <f>SUM('التدفق_الشهري'!DH9:DS9)</f>
        <v/>
      </c>
    </row>
    <row r="9">
      <c r="B9" s="22" t="inlineStr">
        <is>
          <t>العلف الجاهز (طن)</t>
        </is>
      </c>
      <c r="C9" s="47" t="n">
        <v>0</v>
      </c>
      <c r="D9" s="47">
        <f>SUM('التدفق_الشهري'!D13:O13)</f>
        <v/>
      </c>
      <c r="E9" s="47">
        <f>SUM('التدفق_الشهري'!P13:AA13)</f>
        <v/>
      </c>
      <c r="F9" s="47">
        <f>SUM('التدفق_الشهري'!AB13:AM13)</f>
        <v/>
      </c>
      <c r="G9" s="47">
        <f>SUM('التدفق_الشهري'!AN13:AY13)</f>
        <v/>
      </c>
      <c r="H9" s="47">
        <f>SUM('التدفق_الشهري'!AZ13:BK13)</f>
        <v/>
      </c>
      <c r="I9" s="47">
        <f>SUM('التدفق_الشهري'!BL13:BW13)</f>
        <v/>
      </c>
      <c r="J9" s="47">
        <f>SUM('التدفق_الشهري'!BX13:CI13)</f>
        <v/>
      </c>
      <c r="K9" s="47">
        <f>SUM('التدفق_الشهري'!CJ13:CU13)</f>
        <v/>
      </c>
      <c r="L9" s="47">
        <f>SUM('التدفق_الشهري'!CV13:DG13)</f>
        <v/>
      </c>
      <c r="M9" s="47">
        <f>SUM('التدفق_الشهري'!DH13:DS13)</f>
        <v/>
      </c>
    </row>
    <row r="10">
      <c r="B10" s="34" t="inlineStr">
        <is>
          <t>الإيرادات</t>
        </is>
      </c>
      <c r="C10" s="35" t="n">
        <v>0</v>
      </c>
      <c r="D10" s="35">
        <f>SUM('التدفق_الشهري'!D17:O17)</f>
        <v/>
      </c>
      <c r="E10" s="35">
        <f>SUM('التدفق_الشهري'!P17:AA17)</f>
        <v/>
      </c>
      <c r="F10" s="35">
        <f>SUM('التدفق_الشهري'!AB17:AM17)</f>
        <v/>
      </c>
      <c r="G10" s="35">
        <f>SUM('التدفق_الشهري'!AN17:AY17)</f>
        <v/>
      </c>
      <c r="H10" s="35">
        <f>SUM('التدفق_الشهري'!AZ17:BK17)</f>
        <v/>
      </c>
      <c r="I10" s="35">
        <f>SUM('التدفق_الشهري'!BL17:BW17)</f>
        <v/>
      </c>
      <c r="J10" s="35">
        <f>SUM('التدفق_الشهري'!BX17:CI17)</f>
        <v/>
      </c>
      <c r="K10" s="35">
        <f>SUM('التدفق_الشهري'!CJ17:CU17)</f>
        <v/>
      </c>
      <c r="L10" s="35">
        <f>SUM('التدفق_الشهري'!CV17:DG17)</f>
        <v/>
      </c>
      <c r="M10" s="35">
        <f>SUM('التدفق_الشهري'!DH17:DS17)</f>
        <v/>
      </c>
    </row>
    <row r="11">
      <c r="B11" s="22" t="inlineStr">
        <is>
          <t>التكاليف المتغيرة</t>
        </is>
      </c>
      <c r="C11" s="44" t="n">
        <v>0</v>
      </c>
      <c r="D11" s="44">
        <f>SUM('التدفق_الشهري'!D24:O24)</f>
        <v/>
      </c>
      <c r="E11" s="44">
        <f>SUM('التدفق_الشهري'!P24:AA24)</f>
        <v/>
      </c>
      <c r="F11" s="44">
        <f>SUM('التدفق_الشهري'!AB24:AM24)</f>
        <v/>
      </c>
      <c r="G11" s="44">
        <f>SUM('التدفق_الشهري'!AN24:AY24)</f>
        <v/>
      </c>
      <c r="H11" s="44">
        <f>SUM('التدفق_الشهري'!AZ24:BK24)</f>
        <v/>
      </c>
      <c r="I11" s="44">
        <f>SUM('التدفق_الشهري'!BL24:BW24)</f>
        <v/>
      </c>
      <c r="J11" s="44">
        <f>SUM('التدفق_الشهري'!BX24:CI24)</f>
        <v/>
      </c>
      <c r="K11" s="44">
        <f>SUM('التدفق_الشهري'!CJ24:CU24)</f>
        <v/>
      </c>
      <c r="L11" s="44">
        <f>SUM('التدفق_الشهري'!CV24:DG24)</f>
        <v/>
      </c>
      <c r="M11" s="44">
        <f>SUM('التدفق_الشهري'!DH24:DS24)</f>
        <v/>
      </c>
    </row>
    <row r="12">
      <c r="B12" s="34" t="inlineStr">
        <is>
          <t>هامش المساهمة</t>
        </is>
      </c>
      <c r="C12" s="35" t="n">
        <v>0</v>
      </c>
      <c r="D12" s="35">
        <f>SUM('التدفق_الشهري'!D25:O25)</f>
        <v/>
      </c>
      <c r="E12" s="35">
        <f>SUM('التدفق_الشهري'!P25:AA25)</f>
        <v/>
      </c>
      <c r="F12" s="35">
        <f>SUM('التدفق_الشهري'!AB25:AM25)</f>
        <v/>
      </c>
      <c r="G12" s="35">
        <f>SUM('التدفق_الشهري'!AN25:AY25)</f>
        <v/>
      </c>
      <c r="H12" s="35">
        <f>SUM('التدفق_الشهري'!AZ25:BK25)</f>
        <v/>
      </c>
      <c r="I12" s="35">
        <f>SUM('التدفق_الشهري'!BL25:BW25)</f>
        <v/>
      </c>
      <c r="J12" s="35">
        <f>SUM('التدفق_الشهري'!BX25:CI25)</f>
        <v/>
      </c>
      <c r="K12" s="35">
        <f>SUM('التدفق_الشهري'!CJ25:CU25)</f>
        <v/>
      </c>
      <c r="L12" s="35">
        <f>SUM('التدفق_الشهري'!CV25:DG25)</f>
        <v/>
      </c>
      <c r="M12" s="35">
        <f>SUM('التدفق_الشهري'!DH25:DS25)</f>
        <v/>
      </c>
    </row>
    <row r="13">
      <c r="B13" s="22" t="inlineStr">
        <is>
          <t>التكاليف الثابتة</t>
        </is>
      </c>
      <c r="C13" s="44" t="n">
        <v>0</v>
      </c>
      <c r="D13" s="44">
        <f>SUM('التدفق_الشهري'!D26:O26)</f>
        <v/>
      </c>
      <c r="E13" s="44">
        <f>SUM('التدفق_الشهري'!P26:AA26)</f>
        <v/>
      </c>
      <c r="F13" s="44">
        <f>SUM('التدفق_الشهري'!AB26:AM26)</f>
        <v/>
      </c>
      <c r="G13" s="44">
        <f>SUM('التدفق_الشهري'!AN26:AY26)</f>
        <v/>
      </c>
      <c r="H13" s="44">
        <f>SUM('التدفق_الشهري'!AZ26:BK26)</f>
        <v/>
      </c>
      <c r="I13" s="44">
        <f>SUM('التدفق_الشهري'!BL26:BW26)</f>
        <v/>
      </c>
      <c r="J13" s="44">
        <f>SUM('التدفق_الشهري'!BX26:CI26)</f>
        <v/>
      </c>
      <c r="K13" s="44">
        <f>SUM('التدفق_الشهري'!CJ26:CU26)</f>
        <v/>
      </c>
      <c r="L13" s="44">
        <f>SUM('التدفق_الشهري'!CV26:DG26)</f>
        <v/>
      </c>
      <c r="M13" s="44">
        <f>SUM('التدفق_الشهري'!DH26:DS26)</f>
        <v/>
      </c>
    </row>
    <row r="14">
      <c r="B14" s="34" t="inlineStr">
        <is>
          <t>EBITDA</t>
        </is>
      </c>
      <c r="C14" s="35" t="n">
        <v>0</v>
      </c>
      <c r="D14" s="35">
        <f>SUM('التدفق_الشهري'!D27:O27)</f>
        <v/>
      </c>
      <c r="E14" s="35">
        <f>SUM('التدفق_الشهري'!P27:AA27)</f>
        <v/>
      </c>
      <c r="F14" s="35">
        <f>SUM('التدفق_الشهري'!AB27:AM27)</f>
        <v/>
      </c>
      <c r="G14" s="35">
        <f>SUM('التدفق_الشهري'!AN27:AY27)</f>
        <v/>
      </c>
      <c r="H14" s="35">
        <f>SUM('التدفق_الشهري'!AZ27:BK27)</f>
        <v/>
      </c>
      <c r="I14" s="35">
        <f>SUM('التدفق_الشهري'!BL27:BW27)</f>
        <v/>
      </c>
      <c r="J14" s="35">
        <f>SUM('التدفق_الشهري'!BX27:CI27)</f>
        <v/>
      </c>
      <c r="K14" s="35">
        <f>SUM('التدفق_الشهري'!CJ27:CU27)</f>
        <v/>
      </c>
      <c r="L14" s="35">
        <f>SUM('التدفق_الشهري'!CV27:DG27)</f>
        <v/>
      </c>
      <c r="M14" s="35">
        <f>SUM('التدفق_الشهري'!DH27:DS27)</f>
        <v/>
      </c>
    </row>
    <row r="15">
      <c r="B15" s="22" t="inlineStr">
        <is>
          <t>الاهتلاك والإطفاء</t>
        </is>
      </c>
      <c r="C15" s="44" t="n">
        <v>0</v>
      </c>
      <c r="D15" s="44">
        <f>SUM('التدفق_الشهري'!D28:O28)</f>
        <v/>
      </c>
      <c r="E15" s="44">
        <f>SUM('التدفق_الشهري'!P28:AA28)</f>
        <v/>
      </c>
      <c r="F15" s="44">
        <f>SUM('التدفق_الشهري'!AB28:AM28)</f>
        <v/>
      </c>
      <c r="G15" s="44">
        <f>SUM('التدفق_الشهري'!AN28:AY28)</f>
        <v/>
      </c>
      <c r="H15" s="44">
        <f>SUM('التدفق_الشهري'!AZ28:BK28)</f>
        <v/>
      </c>
      <c r="I15" s="44">
        <f>SUM('التدفق_الشهري'!BL28:BW28)</f>
        <v/>
      </c>
      <c r="J15" s="44">
        <f>SUM('التدفق_الشهري'!BX28:CI28)</f>
        <v/>
      </c>
      <c r="K15" s="44">
        <f>SUM('التدفق_الشهري'!CJ28:CU28)</f>
        <v/>
      </c>
      <c r="L15" s="44">
        <f>SUM('التدفق_الشهري'!CV28:DG28)</f>
        <v/>
      </c>
      <c r="M15" s="44">
        <f>SUM('التدفق_الشهري'!DH28:DS28)</f>
        <v/>
      </c>
    </row>
    <row r="16">
      <c r="B16" s="34" t="inlineStr">
        <is>
          <t>EBIT (الربح قبل الضريبة)</t>
        </is>
      </c>
      <c r="C16" s="35" t="n">
        <v>0</v>
      </c>
      <c r="D16" s="35">
        <f>SUM('التدفق_الشهري'!D29:O29)</f>
        <v/>
      </c>
      <c r="E16" s="35">
        <f>SUM('التدفق_الشهري'!P29:AA29)</f>
        <v/>
      </c>
      <c r="F16" s="35">
        <f>SUM('التدفق_الشهري'!AB29:AM29)</f>
        <v/>
      </c>
      <c r="G16" s="35">
        <f>SUM('التدفق_الشهري'!AN29:AY29)</f>
        <v/>
      </c>
      <c r="H16" s="35">
        <f>SUM('التدفق_الشهري'!AZ29:BK29)</f>
        <v/>
      </c>
      <c r="I16" s="35">
        <f>SUM('التدفق_الشهري'!BL29:BW29)</f>
        <v/>
      </c>
      <c r="J16" s="35">
        <f>SUM('التدفق_الشهري'!BX29:CI29)</f>
        <v/>
      </c>
      <c r="K16" s="35">
        <f>SUM('التدفق_الشهري'!CJ29:CU29)</f>
        <v/>
      </c>
      <c r="L16" s="35">
        <f>SUM('التدفق_الشهري'!CV29:DG29)</f>
        <v/>
      </c>
      <c r="M16" s="35">
        <f>SUM('التدفق_الشهري'!DH29:DS29)</f>
        <v/>
      </c>
    </row>
    <row r="17">
      <c r="B17" s="22" t="inlineStr">
        <is>
          <t>الضريبة</t>
        </is>
      </c>
      <c r="C17" s="44" t="n">
        <v>0</v>
      </c>
      <c r="D17" s="44">
        <f>SUM('التدفق_الشهري'!D32:O32)</f>
        <v/>
      </c>
      <c r="E17" s="44">
        <f>SUM('التدفق_الشهري'!P32:AA32)</f>
        <v/>
      </c>
      <c r="F17" s="44">
        <f>SUM('التدفق_الشهري'!AB32:AM32)</f>
        <v/>
      </c>
      <c r="G17" s="44">
        <f>SUM('التدفق_الشهري'!AN32:AY32)</f>
        <v/>
      </c>
      <c r="H17" s="44">
        <f>SUM('التدفق_الشهري'!AZ32:BK32)</f>
        <v/>
      </c>
      <c r="I17" s="44">
        <f>SUM('التدفق_الشهري'!BL32:BW32)</f>
        <v/>
      </c>
      <c r="J17" s="44">
        <f>SUM('التدفق_الشهري'!BX32:CI32)</f>
        <v/>
      </c>
      <c r="K17" s="44">
        <f>SUM('التدفق_الشهري'!CJ32:CU32)</f>
        <v/>
      </c>
      <c r="L17" s="44">
        <f>SUM('التدفق_الشهري'!CV32:DG32)</f>
        <v/>
      </c>
      <c r="M17" s="44">
        <f>SUM('التدفق_الشهري'!DH32:DS32)</f>
        <v/>
      </c>
    </row>
    <row r="18">
      <c r="B18" s="34" t="inlineStr">
        <is>
          <t>صافي الربح بعد الضريبة</t>
        </is>
      </c>
      <c r="C18" s="35" t="n">
        <v>0</v>
      </c>
      <c r="D18" s="35">
        <f>D16-D17</f>
        <v/>
      </c>
      <c r="E18" s="35">
        <f>E16-E17</f>
        <v/>
      </c>
      <c r="F18" s="35">
        <f>F16-F17</f>
        <v/>
      </c>
      <c r="G18" s="35">
        <f>G16-G17</f>
        <v/>
      </c>
      <c r="H18" s="35">
        <f>H16-H17</f>
        <v/>
      </c>
      <c r="I18" s="35">
        <f>I16-I17</f>
        <v/>
      </c>
      <c r="J18" s="35">
        <f>J16-J17</f>
        <v/>
      </c>
      <c r="K18" s="35">
        <f>K16-K17</f>
        <v/>
      </c>
      <c r="L18" s="35">
        <f>L16-L17</f>
        <v/>
      </c>
      <c r="M18" s="35">
        <f>M16-M17</f>
        <v/>
      </c>
    </row>
    <row r="19">
      <c r="B19" s="22" t="inlineStr">
        <is>
          <t>التغير في رأس المال العامل</t>
        </is>
      </c>
      <c r="C19" s="44" t="n">
        <v>0</v>
      </c>
      <c r="D19" s="44">
        <f>SUM('التدفق_الشهري'!D34:O34)</f>
        <v/>
      </c>
      <c r="E19" s="44">
        <f>SUM('التدفق_الشهري'!P34:AA34)</f>
        <v/>
      </c>
      <c r="F19" s="44">
        <f>SUM('التدفق_الشهري'!AB34:AM34)</f>
        <v/>
      </c>
      <c r="G19" s="44">
        <f>SUM('التدفق_الشهري'!AN34:AY34)</f>
        <v/>
      </c>
      <c r="H19" s="44">
        <f>SUM('التدفق_الشهري'!AZ34:BK34)</f>
        <v/>
      </c>
      <c r="I19" s="44">
        <f>SUM('التدفق_الشهري'!BL34:BW34)</f>
        <v/>
      </c>
      <c r="J19" s="44">
        <f>SUM('التدفق_الشهري'!BX34:CI34)</f>
        <v/>
      </c>
      <c r="K19" s="44">
        <f>SUM('التدفق_الشهري'!CJ34:CU34)</f>
        <v/>
      </c>
      <c r="L19" s="44">
        <f>SUM('التدفق_الشهري'!CV34:DG34)</f>
        <v/>
      </c>
      <c r="M19" s="44">
        <f>SUM('التدفق_الشهري'!DH34:DS34)</f>
        <v/>
      </c>
    </row>
    <row r="20">
      <c r="B20" s="22" t="inlineStr">
        <is>
          <t>(-) الاستثمار الرأسمالي ومصروفات ما قبل التشغيل</t>
        </is>
      </c>
      <c r="C20" s="44">
        <f>'CAPEX'!$C$44</f>
        <v/>
      </c>
      <c r="D20" s="44" t="n">
        <v>0</v>
      </c>
      <c r="E20" s="44" t="n">
        <v>0</v>
      </c>
      <c r="F20" s="44" t="n">
        <v>0</v>
      </c>
      <c r="G20" s="44" t="n">
        <v>0</v>
      </c>
      <c r="H20" s="44" t="n">
        <v>0</v>
      </c>
      <c r="I20" s="44" t="n">
        <v>0</v>
      </c>
      <c r="J20" s="44" t="n">
        <v>0</v>
      </c>
      <c r="K20" s="44" t="n">
        <v>0</v>
      </c>
      <c r="L20" s="44" t="n">
        <v>0</v>
      </c>
      <c r="M20" s="44" t="n">
        <v>0</v>
      </c>
    </row>
    <row r="21">
      <c r="B21" s="45" t="inlineStr">
        <is>
          <t>التدفق النقدي الحر (FCF)</t>
        </is>
      </c>
      <c r="C21" s="46">
        <f>'التدفق_الشهري'!$C$35</f>
        <v/>
      </c>
      <c r="D21" s="46">
        <f>SUM('التدفق_الشهري'!D35:O35)</f>
        <v/>
      </c>
      <c r="E21" s="46">
        <f>SUM('التدفق_الشهري'!P35:AA35)</f>
        <v/>
      </c>
      <c r="F21" s="46">
        <f>SUM('التدفق_الشهري'!AB35:AM35)</f>
        <v/>
      </c>
      <c r="G21" s="46">
        <f>SUM('التدفق_الشهري'!AN35:AY35)</f>
        <v/>
      </c>
      <c r="H21" s="46">
        <f>SUM('التدفق_الشهري'!AZ35:BK35)</f>
        <v/>
      </c>
      <c r="I21" s="46">
        <f>SUM('التدفق_الشهري'!BL35:BW35)</f>
        <v/>
      </c>
      <c r="J21" s="46">
        <f>SUM('التدفق_الشهري'!BX35:CI35)</f>
        <v/>
      </c>
      <c r="K21" s="46">
        <f>SUM('التدفق_الشهري'!CJ35:CU35)</f>
        <v/>
      </c>
      <c r="L21" s="46">
        <f>SUM('التدفق_الشهري'!CV35:DG35)</f>
        <v/>
      </c>
      <c r="M21" s="46">
        <f>SUM('التدفق_الشهري'!DH35:DS35)</f>
        <v/>
      </c>
    </row>
    <row r="22">
      <c r="B22" s="45" t="inlineStr">
        <is>
          <t>التدفق النقدي التراكمي</t>
        </is>
      </c>
      <c r="C22" s="46">
        <f>C21</f>
        <v/>
      </c>
      <c r="D22" s="46">
        <f>C22+D21</f>
        <v/>
      </c>
      <c r="E22" s="46">
        <f>D22+E21</f>
        <v/>
      </c>
      <c r="F22" s="46">
        <f>E22+F21</f>
        <v/>
      </c>
      <c r="G22" s="46">
        <f>F22+G21</f>
        <v/>
      </c>
      <c r="H22" s="46">
        <f>G22+H21</f>
        <v/>
      </c>
      <c r="I22" s="46">
        <f>H22+I21</f>
        <v/>
      </c>
      <c r="J22" s="46">
        <f>I22+J21</f>
        <v/>
      </c>
      <c r="K22" s="46">
        <f>J22+K21</f>
        <v/>
      </c>
      <c r="L22" s="46">
        <f>K22+L21</f>
        <v/>
      </c>
      <c r="M22" s="46">
        <f>L22+M21</f>
        <v/>
      </c>
    </row>
    <row r="23">
      <c r="B23" s="22" t="inlineStr">
        <is>
          <t>القيمة الحالية للتدفق</t>
        </is>
      </c>
      <c r="C23" s="44">
        <f>C21*C5</f>
        <v/>
      </c>
      <c r="D23" s="44">
        <f>D21*D5</f>
        <v/>
      </c>
      <c r="E23" s="44">
        <f>E21*E5</f>
        <v/>
      </c>
      <c r="F23" s="44">
        <f>F21*F5</f>
        <v/>
      </c>
      <c r="G23" s="44">
        <f>G21*G5</f>
        <v/>
      </c>
      <c r="H23" s="44">
        <f>H21*H5</f>
        <v/>
      </c>
      <c r="I23" s="44">
        <f>I21*I5</f>
        <v/>
      </c>
      <c r="J23" s="44">
        <f>J21*J5</f>
        <v/>
      </c>
      <c r="K23" s="44">
        <f>K21*K5</f>
        <v/>
      </c>
      <c r="L23" s="44">
        <f>L21*L5</f>
        <v/>
      </c>
      <c r="M23" s="44">
        <f>M21*M5</f>
        <v/>
      </c>
    </row>
    <row r="24">
      <c r="B24" s="34" t="inlineStr">
        <is>
          <t>صافي القيمة الحالية التراكمية</t>
        </is>
      </c>
      <c r="C24" s="35">
        <f>C23</f>
        <v/>
      </c>
      <c r="D24" s="35">
        <f>C24+D23</f>
        <v/>
      </c>
      <c r="E24" s="35">
        <f>D24+E23</f>
        <v/>
      </c>
      <c r="F24" s="35">
        <f>E24+F23</f>
        <v/>
      </c>
      <c r="G24" s="35">
        <f>F24+G23</f>
        <v/>
      </c>
      <c r="H24" s="35">
        <f>G24+H23</f>
        <v/>
      </c>
      <c r="I24" s="35">
        <f>H24+I23</f>
        <v/>
      </c>
      <c r="J24" s="35">
        <f>I24+J23</f>
        <v/>
      </c>
      <c r="K24" s="35">
        <f>J24+K23</f>
        <v/>
      </c>
      <c r="L24" s="35">
        <f>K24+L23</f>
        <v/>
      </c>
      <c r="M24" s="35">
        <f>L24+M23</f>
        <v/>
      </c>
    </row>
  </sheetData>
  <mergeCells count="2">
    <mergeCell ref="B2:M2"/>
    <mergeCell ref="B1:M1"/>
  </mergeCells>
  <pageMargins left="0.75" right="0.75" top="1" bottom="1" header="0.5" footer="0.5"/>
</worksheet>
</file>

<file path=xl/worksheets/sheet9.xml><?xml version="1.0" encoding="utf-8"?>
<worksheet xmlns="http://schemas.openxmlformats.org/spreadsheetml/2006/main">
  <sheetPr>
    <tabColor rgb="00C6E0B4"/>
    <outlinePr summaryBelow="1" summaryRight="1"/>
    <pageSetUpPr/>
  </sheetPr>
  <dimension ref="B1:I22"/>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46" customWidth="1" min="2" max="2"/>
    <col width="16" customWidth="1" min="3" max="3"/>
    <col width="16" customWidth="1" min="4" max="4"/>
    <col width="16" customWidth="1" min="5" max="5"/>
    <col width="16" customWidth="1" min="6" max="6"/>
    <col width="16" customWidth="1" min="7" max="7"/>
    <col width="16" customWidth="1" min="8" max="8"/>
    <col width="16" customWidth="1" min="9" max="9"/>
  </cols>
  <sheetData>
    <row r="1" ht="30" customHeight="1">
      <c r="B1" s="25" t="inlineStr">
        <is>
          <t>قائمة الدخل المتوقعة — 5 سنوات (والسنة 10 للمقارنة)</t>
        </is>
      </c>
      <c r="C1" s="2" t="n"/>
      <c r="D1" s="2" t="n"/>
      <c r="E1" s="2" t="n"/>
      <c r="F1" s="2" t="n"/>
      <c r="G1" s="2" t="n"/>
      <c r="H1" s="2" t="n"/>
      <c r="I1" s="2" t="n"/>
    </row>
    <row r="2">
      <c r="B2" s="26" t="inlineStr">
        <is>
          <t>مبنية بالكامل على ورقة التدفق السنوي ⇒ متسقة تماماً مع التدفق النقدي. الضريبة 22.5% مع تدوير الخسائر.</t>
        </is>
      </c>
    </row>
    <row r="4">
      <c r="B4" s="38" t="inlineStr">
        <is>
          <t>البند</t>
        </is>
      </c>
      <c r="C4" s="38" t="inlineStr">
        <is>
          <t>السنة 1</t>
        </is>
      </c>
      <c r="D4" s="38" t="inlineStr">
        <is>
          <t>السنة 2</t>
        </is>
      </c>
      <c r="E4" s="38" t="inlineStr">
        <is>
          <t>السنة 3</t>
        </is>
      </c>
      <c r="F4" s="38" t="inlineStr">
        <is>
          <t>السنة 4</t>
        </is>
      </c>
      <c r="G4" s="38" t="inlineStr">
        <is>
          <t>السنة 5</t>
        </is>
      </c>
      <c r="H4" s="38" t="inlineStr">
        <is>
          <t>السنة 10</t>
        </is>
      </c>
    </row>
    <row r="5">
      <c r="B5" s="34" t="inlineStr">
        <is>
          <t>الإيرادات</t>
        </is>
      </c>
      <c r="C5" s="35">
        <f>'التدفق_السنوي'!D10</f>
        <v/>
      </c>
      <c r="D5" s="35">
        <f>'التدفق_السنوي'!E10</f>
        <v/>
      </c>
      <c r="E5" s="35">
        <f>'التدفق_السنوي'!F10</f>
        <v/>
      </c>
      <c r="F5" s="35">
        <f>'التدفق_السنوي'!G10</f>
        <v/>
      </c>
      <c r="G5" s="35">
        <f>'التدفق_السنوي'!H10</f>
        <v/>
      </c>
      <c r="H5" s="35">
        <f>'التدفق_السنوي'!M10</f>
        <v/>
      </c>
    </row>
    <row r="6">
      <c r="B6" s="22" t="inlineStr">
        <is>
          <t>(-) التكاليف المتغيرة</t>
        </is>
      </c>
      <c r="C6" s="44">
        <f>'التدفق_السنوي'!D11</f>
        <v/>
      </c>
      <c r="D6" s="44">
        <f>'التدفق_السنوي'!E11</f>
        <v/>
      </c>
      <c r="E6" s="44">
        <f>'التدفق_السنوي'!F11</f>
        <v/>
      </c>
      <c r="F6" s="44">
        <f>'التدفق_السنوي'!G11</f>
        <v/>
      </c>
      <c r="G6" s="44">
        <f>'التدفق_السنوي'!H11</f>
        <v/>
      </c>
      <c r="H6" s="44">
        <f>'التدفق_السنوي'!M11</f>
        <v/>
      </c>
    </row>
    <row r="7">
      <c r="B7" s="34" t="inlineStr">
        <is>
          <t>هامش المساهمة</t>
        </is>
      </c>
      <c r="C7" s="35">
        <f>'التدفق_السنوي'!D12</f>
        <v/>
      </c>
      <c r="D7" s="35">
        <f>'التدفق_السنوي'!E12</f>
        <v/>
      </c>
      <c r="E7" s="35">
        <f>'التدفق_السنوي'!F12</f>
        <v/>
      </c>
      <c r="F7" s="35">
        <f>'التدفق_السنوي'!G12</f>
        <v/>
      </c>
      <c r="G7" s="35">
        <f>'التدفق_السنوي'!H12</f>
        <v/>
      </c>
      <c r="H7" s="35">
        <f>'التدفق_السنوي'!M12</f>
        <v/>
      </c>
    </row>
    <row r="8">
      <c r="B8" s="22" t="inlineStr">
        <is>
          <t>(-) التكاليف الثابتة</t>
        </is>
      </c>
      <c r="C8" s="44">
        <f>'التدفق_السنوي'!D13</f>
        <v/>
      </c>
      <c r="D8" s="44">
        <f>'التدفق_السنوي'!E13</f>
        <v/>
      </c>
      <c r="E8" s="44">
        <f>'التدفق_السنوي'!F13</f>
        <v/>
      </c>
      <c r="F8" s="44">
        <f>'التدفق_السنوي'!G13</f>
        <v/>
      </c>
      <c r="G8" s="44">
        <f>'التدفق_السنوي'!H13</f>
        <v/>
      </c>
      <c r="H8" s="44">
        <f>'التدفق_السنوي'!M13</f>
        <v/>
      </c>
    </row>
    <row r="9">
      <c r="B9" s="34" t="inlineStr">
        <is>
          <t>EBITDA</t>
        </is>
      </c>
      <c r="C9" s="35">
        <f>'التدفق_السنوي'!D14</f>
        <v/>
      </c>
      <c r="D9" s="35">
        <f>'التدفق_السنوي'!E14</f>
        <v/>
      </c>
      <c r="E9" s="35">
        <f>'التدفق_السنوي'!F14</f>
        <v/>
      </c>
      <c r="F9" s="35">
        <f>'التدفق_السنوي'!G14</f>
        <v/>
      </c>
      <c r="G9" s="35">
        <f>'التدفق_السنوي'!H14</f>
        <v/>
      </c>
      <c r="H9" s="35">
        <f>'التدفق_السنوي'!M14</f>
        <v/>
      </c>
    </row>
    <row r="10">
      <c r="B10" s="22" t="inlineStr">
        <is>
          <t>(-) الاهتلاك والإطفاء</t>
        </is>
      </c>
      <c r="C10" s="44">
        <f>'التدفق_السنوي'!D15</f>
        <v/>
      </c>
      <c r="D10" s="44">
        <f>'التدفق_السنوي'!E15</f>
        <v/>
      </c>
      <c r="E10" s="44">
        <f>'التدفق_السنوي'!F15</f>
        <v/>
      </c>
      <c r="F10" s="44">
        <f>'التدفق_السنوي'!G15</f>
        <v/>
      </c>
      <c r="G10" s="44">
        <f>'التدفق_السنوي'!H15</f>
        <v/>
      </c>
      <c r="H10" s="44">
        <f>'التدفق_السنوي'!M15</f>
        <v/>
      </c>
    </row>
    <row r="11">
      <c r="B11" s="34" t="inlineStr">
        <is>
          <t>EBIT (الربح قبل الضريبة)</t>
        </is>
      </c>
      <c r="C11" s="35">
        <f>'التدفق_السنوي'!D16</f>
        <v/>
      </c>
      <c r="D11" s="35">
        <f>'التدفق_السنوي'!E16</f>
        <v/>
      </c>
      <c r="E11" s="35">
        <f>'التدفق_السنوي'!F16</f>
        <v/>
      </c>
      <c r="F11" s="35">
        <f>'التدفق_السنوي'!G16</f>
        <v/>
      </c>
      <c r="G11" s="35">
        <f>'التدفق_السنوي'!H16</f>
        <v/>
      </c>
      <c r="H11" s="35">
        <f>'التدفق_السنوي'!M16</f>
        <v/>
      </c>
    </row>
    <row r="12">
      <c r="B12" s="22" t="inlineStr">
        <is>
          <t>(-) الضريبة</t>
        </is>
      </c>
      <c r="C12" s="44">
        <f>'التدفق_السنوي'!D17</f>
        <v/>
      </c>
      <c r="D12" s="44">
        <f>'التدفق_السنوي'!E17</f>
        <v/>
      </c>
      <c r="E12" s="44">
        <f>'التدفق_السنوي'!F17</f>
        <v/>
      </c>
      <c r="F12" s="44">
        <f>'التدفق_السنوي'!G17</f>
        <v/>
      </c>
      <c r="G12" s="44">
        <f>'التدفق_السنوي'!H17</f>
        <v/>
      </c>
      <c r="H12" s="44">
        <f>'التدفق_السنوي'!M17</f>
        <v/>
      </c>
    </row>
    <row r="13">
      <c r="B13" s="45" t="inlineStr">
        <is>
          <t>صافي الربح بعد الضريبة</t>
        </is>
      </c>
      <c r="C13" s="46">
        <f>C11-C12</f>
        <v/>
      </c>
      <c r="D13" s="46">
        <f>D11-D12</f>
        <v/>
      </c>
      <c r="E13" s="46">
        <f>E11-E12</f>
        <v/>
      </c>
      <c r="F13" s="46">
        <f>F11-F12</f>
        <v/>
      </c>
      <c r="G13" s="46">
        <f>G11-G12</f>
        <v/>
      </c>
      <c r="H13" s="46">
        <f>H11-H12</f>
        <v/>
      </c>
    </row>
    <row r="14">
      <c r="B14" s="22" t="inlineStr">
        <is>
          <t>هامش EBITDA %</t>
        </is>
      </c>
      <c r="C14" s="37">
        <f>'التدفق_السنوي'!D14/'التدفق_السنوي'!D10</f>
        <v/>
      </c>
      <c r="D14" s="37">
        <f>'التدفق_السنوي'!E14/'التدفق_السنوي'!E10</f>
        <v/>
      </c>
      <c r="E14" s="37">
        <f>'التدفق_السنوي'!F14/'التدفق_السنوي'!F10</f>
        <v/>
      </c>
      <c r="F14" s="37">
        <f>'التدفق_السنوي'!G14/'التدفق_السنوي'!G10</f>
        <v/>
      </c>
      <c r="G14" s="37">
        <f>'التدفق_السنوي'!H14/'التدفق_السنوي'!H10</f>
        <v/>
      </c>
      <c r="H14" s="37">
        <f>'التدفق_السنوي'!M14/'التدفق_السنوي'!M10</f>
        <v/>
      </c>
    </row>
    <row r="15">
      <c r="B15" s="22" t="inlineStr">
        <is>
          <t>صافي هامش الربح %</t>
        </is>
      </c>
      <c r="C15" s="37">
        <f>C13/'التدفق_السنوي'!D10</f>
        <v/>
      </c>
      <c r="D15" s="37">
        <f>D13/'التدفق_السنوي'!E10</f>
        <v/>
      </c>
      <c r="E15" s="37">
        <f>E13/'التدفق_السنوي'!F10</f>
        <v/>
      </c>
      <c r="F15" s="37">
        <f>F13/'التدفق_السنوي'!G10</f>
        <v/>
      </c>
      <c r="G15" s="37">
        <f>G13/'التدفق_السنوي'!H10</f>
        <v/>
      </c>
      <c r="H15" s="37">
        <f>H13/'التدفق_السنوي'!M10</f>
        <v/>
      </c>
    </row>
    <row r="18" ht="21" customHeight="1">
      <c r="B18" s="27" t="inlineStr">
        <is>
          <t>ملاحظات على قائمة الدخل</t>
        </is>
      </c>
      <c r="C18" s="28" t="n"/>
      <c r="D18" s="28" t="n"/>
      <c r="E18" s="28" t="n"/>
      <c r="F18" s="28" t="n"/>
      <c r="G18" s="28" t="n"/>
      <c r="H18" s="28" t="n"/>
      <c r="I18" s="28" t="n"/>
    </row>
    <row r="19" ht="22" customHeight="1">
      <c r="B19" s="12" t="inlineStr">
        <is>
          <t>• الإيرادات والتكاليف تنمو بتضخم سنوي: أسعار البيع 8% وتكلفة الخام 8% والتكاليف الثابتة 8% (السيناريو المتوقع).</t>
        </is>
      </c>
    </row>
    <row r="20" ht="22" customHeight="1">
      <c r="B20" s="12" t="inlineStr">
        <is>
          <t>• الدراسة الأصلية لم تُطبّق أي تضخم على التكاليف الثابتة ⇒ مبالغة في أرباح السنوات 6–10.</t>
        </is>
      </c>
    </row>
    <row r="21" ht="22" customHeight="1">
      <c r="B21" s="12" t="inlineStr">
        <is>
          <t>• الضريبة محسوبة على EBIT بعد تدوير الخسائر؛ الدراسة استخدمت خصماً ثابتاً 100,000 ج لا علاقة له بالوعاء الضريبي.</t>
        </is>
      </c>
    </row>
    <row r="22" ht="22" customHeight="1">
      <c r="B22" s="12" t="inlineStr">
        <is>
          <t>• لا توجد تكلفة تمويل لأن النموذج الأساسي بتمويل ذاتي 100%؛ أثر الدين في ورقة «المؤشرات».</t>
        </is>
      </c>
    </row>
  </sheetData>
  <mergeCells count="7">
    <mergeCell ref="B18:I18"/>
    <mergeCell ref="B22:H22"/>
    <mergeCell ref="B19:H19"/>
    <mergeCell ref="B21:H21"/>
    <mergeCell ref="B2:I2"/>
    <mergeCell ref="B1:I1"/>
    <mergeCell ref="B20:H20"/>
  </mergeCells>
  <pageMargins left="0.75" right="0.75" top="1" bottom="1" header="0.5" footer="0.5"/>
</worksheet>
</file>

<file path=xl/worksheets/sheet10.xml><?xml version="1.0" encoding="utf-8"?>
<worksheet xmlns="http://schemas.openxmlformats.org/spreadsheetml/2006/main">
  <sheetPr>
    <tabColor rgb="00D9D2E9"/>
    <outlinePr summaryBelow="1" summaryRight="1"/>
    <pageSetUpPr/>
  </sheetPr>
  <dimension ref="B1:G35"/>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50" customWidth="1" min="2" max="2"/>
    <col width="18" customWidth="1" min="3" max="3"/>
    <col width="18" customWidth="1" min="4" max="4"/>
    <col width="18" customWidth="1" min="5" max="5"/>
    <col width="18" customWidth="1" min="6" max="6"/>
  </cols>
  <sheetData>
    <row r="1" ht="30" customHeight="1">
      <c r="B1" s="25" t="inlineStr">
        <is>
          <t>الميزانية الافتتاحية ومصادر واستخدامات الأموال</t>
        </is>
      </c>
      <c r="C1" s="2" t="n"/>
      <c r="D1" s="2" t="n"/>
      <c r="E1" s="2" t="n"/>
      <c r="F1" s="2" t="n"/>
    </row>
    <row r="2">
      <c r="B2" s="26" t="inlineStr">
        <is>
          <t>⚠ الدراسة خصصت رأس مال عامل = شهر واحد من OPEX (1,091,450 ج) وأظهرت حقوق ملكية 2,512,950 ج — لا تفي بمتطلبات التشغيل الفعلية.</t>
        </is>
      </c>
    </row>
    <row r="5" ht="21" customHeight="1">
      <c r="B5" s="27" t="inlineStr">
        <is>
          <t>أولاً: استخدامات الأموال</t>
        </is>
      </c>
      <c r="C5" s="28" t="n"/>
      <c r="D5" s="28" t="n"/>
      <c r="E5" s="28" t="n"/>
      <c r="F5" s="28" t="n"/>
    </row>
    <row r="6" ht="18" customHeight="1">
      <c r="B6" s="38" t="inlineStr">
        <is>
          <t>البند</t>
        </is>
      </c>
      <c r="C6" s="38" t="inlineStr">
        <is>
          <t>المبلغ (ج.م)</t>
        </is>
      </c>
      <c r="D6" s="38" t="inlineStr">
        <is>
          <t>الوحدة</t>
        </is>
      </c>
      <c r="E6" s="38" t="inlineStr">
        <is>
          <t>المرجع</t>
        </is>
      </c>
      <c r="F6" s="38" t="inlineStr"/>
      <c r="G6" s="38" t="inlineStr"/>
    </row>
    <row r="7">
      <c r="B7" s="22" t="inlineStr">
        <is>
          <t>الاستثمارات الرأسمالية (CAPEX)</t>
        </is>
      </c>
      <c r="C7" s="44">
        <f>'CAPEX'!$C$37</f>
        <v/>
      </c>
      <c r="D7" s="31" t="inlineStr">
        <is>
          <t>ج.م</t>
        </is>
      </c>
      <c r="E7" s="32" t="inlineStr">
        <is>
          <t>معدات + مدني + تركيب + احتياطي</t>
        </is>
      </c>
    </row>
    <row r="8">
      <c r="B8" s="22" t="inlineStr">
        <is>
          <t>مصروفات ما قبل التشغيل والتراخيص</t>
        </is>
      </c>
      <c r="C8" s="44">
        <f>'CAPEX'!$C$43</f>
        <v/>
      </c>
      <c r="D8" s="31" t="inlineStr">
        <is>
          <t>ج.م</t>
        </is>
      </c>
      <c r="E8" s="32" t="inlineStr">
        <is>
          <t>تراخيص NFSA، تأسيس، تدريب</t>
        </is>
      </c>
    </row>
    <row r="9">
      <c r="B9" s="22" t="inlineStr">
        <is>
          <t>رأس المال العامل التشغيلي</t>
        </is>
      </c>
      <c r="C9" s="44">
        <f>'التدفق_الشهري'!$D$33</f>
        <v/>
      </c>
      <c r="D9" s="31" t="inlineStr">
        <is>
          <t>ج.م</t>
        </is>
      </c>
      <c r="E9" s="32" t="inlineStr">
        <is>
          <t>مخزون + مدينون − دائنون + نقدية</t>
        </is>
      </c>
    </row>
    <row r="10">
      <c r="B10" s="45" t="inlineStr">
        <is>
          <t>إجمالي استخدامات الأموال</t>
        </is>
      </c>
      <c r="C10" s="46">
        <f>'الميزانية_الافتتاحية'!$C$7+'الميزانية_الافتتاحية'!$C$8+'الميزانية_الافتتاحية'!$C$9</f>
        <v/>
      </c>
      <c r="D10" s="31" t="inlineStr">
        <is>
          <t>ج.م</t>
        </is>
      </c>
      <c r="E10" s="32" t="inlineStr">
        <is>
          <t>المقارنة: الدراسة 2,611,450 ج فقط</t>
        </is>
      </c>
    </row>
    <row r="12" ht="21" customHeight="1">
      <c r="B12" s="27" t="inlineStr">
        <is>
          <t>ثانياً: مصادر الأموال</t>
        </is>
      </c>
      <c r="C12" s="28" t="n"/>
      <c r="D12" s="28" t="n"/>
      <c r="E12" s="28" t="n"/>
      <c r="F12" s="28" t="n"/>
    </row>
    <row r="13" ht="18" customHeight="1">
      <c r="B13" s="38" t="inlineStr">
        <is>
          <t>المصدر</t>
        </is>
      </c>
      <c r="C13" s="38" t="inlineStr">
        <is>
          <t>المبلغ (ج.م)</t>
        </is>
      </c>
      <c r="D13" s="38" t="inlineStr">
        <is>
          <t>الوحدة</t>
        </is>
      </c>
      <c r="E13" s="38" t="inlineStr">
        <is>
          <t>المرجع</t>
        </is>
      </c>
      <c r="F13" s="38" t="inlineStr"/>
      <c r="G13" s="38" t="inlineStr"/>
    </row>
    <row r="14">
      <c r="B14" s="22" t="inlineStr">
        <is>
          <t>تمويل بالدين</t>
        </is>
      </c>
      <c r="C14" s="44">
        <f>'الافتراضات'!$C$13*'الميزانية_الافتتاحية'!$C$10</f>
        <v/>
      </c>
      <c r="D14" s="31" t="inlineStr">
        <is>
          <t>ج.م</t>
        </is>
      </c>
      <c r="E14" s="32" t="inlineStr">
        <is>
          <t>0% في الحالة الأساسية</t>
        </is>
      </c>
    </row>
    <row r="15">
      <c r="B15" s="45" t="inlineStr">
        <is>
          <t>تمويل بحقوق الملكية (المطلوب)</t>
        </is>
      </c>
      <c r="C15" s="46">
        <f>'الميزانية_الافتتاحية'!$C$10-'الميزانية_الافتتاحية'!$C$14</f>
        <v/>
      </c>
      <c r="D15" s="31" t="inlineStr">
        <is>
          <t>ج.م</t>
        </is>
      </c>
      <c r="E15" s="32" t="inlineStr">
        <is>
          <t>المبلغ الفعلي المطلوب من المالك</t>
        </is>
      </c>
    </row>
    <row r="16">
      <c r="B16" s="29" t="inlineStr">
        <is>
          <t>المقارنة: حقوق الملكية كما وردت في الدراسة</t>
        </is>
      </c>
      <c r="C16" s="33" t="n">
        <v>2512950</v>
      </c>
      <c r="D16" s="31" t="inlineStr">
        <is>
          <t>ج.م</t>
        </is>
      </c>
      <c r="E16" s="32" t="inlineStr">
        <is>
          <t>الافتراضات!C10 بالملف الأصلي</t>
        </is>
      </c>
    </row>
    <row r="17">
      <c r="B17" s="45" t="inlineStr">
        <is>
          <t>⚠ فجوة التمويل (نقص التمويل في الدراسة)</t>
        </is>
      </c>
      <c r="C17" s="46">
        <f>'الميزانية_الافتتاحية'!$C$15-'الميزانية_الافتتاحية'!$C$16</f>
        <v/>
      </c>
      <c r="D17" s="31" t="inlineStr">
        <is>
          <t>ج.م</t>
        </is>
      </c>
      <c r="E17" s="32" t="inlineStr">
        <is>
          <t>⚠ يجب تغطيتها قبل بدء التشغيل وإلا توقف المشروع في الشهر الأول</t>
        </is>
      </c>
    </row>
    <row r="19" ht="21" customHeight="1">
      <c r="B19" s="27" t="inlineStr">
        <is>
          <t>ثالثاً: الميزانية العمومية الافتتاحية</t>
        </is>
      </c>
      <c r="C19" s="28" t="n"/>
      <c r="D19" s="28" t="n"/>
      <c r="E19" s="28" t="n"/>
      <c r="F19" s="28" t="n"/>
    </row>
    <row r="20" ht="18" customHeight="1">
      <c r="B20" s="38" t="inlineStr">
        <is>
          <t>البند</t>
        </is>
      </c>
      <c r="C20" s="38" t="inlineStr">
        <is>
          <t>المبلغ (ج.م)</t>
        </is>
      </c>
      <c r="D20" s="38" t="inlineStr">
        <is>
          <t>الوحدة</t>
        </is>
      </c>
      <c r="E20" s="38" t="inlineStr">
        <is>
          <t>المرجع</t>
        </is>
      </c>
      <c r="F20" s="38" t="inlineStr"/>
      <c r="G20" s="38" t="inlineStr"/>
    </row>
    <row r="21">
      <c r="B21" s="22" t="inlineStr">
        <is>
          <t>أصول ثابتة (بالتكلفة)</t>
        </is>
      </c>
      <c r="C21" s="44">
        <f>'CAPEX'!$C$37</f>
        <v/>
      </c>
      <c r="D21" s="31" t="inlineStr">
        <is>
          <t>ج.م</t>
        </is>
      </c>
      <c r="E21" s="32" t="inlineStr"/>
    </row>
    <row r="22">
      <c r="B22" s="22" t="inlineStr">
        <is>
          <t>مصروفات ما قبل التشغيل (غير مُطفأة)</t>
        </is>
      </c>
      <c r="C22" s="44">
        <f>'CAPEX'!$C$43</f>
        <v/>
      </c>
      <c r="D22" s="31" t="inlineStr">
        <is>
          <t>ج.م</t>
        </is>
      </c>
      <c r="E22" s="32" t="inlineStr"/>
    </row>
    <row r="23">
      <c r="B23" s="22" t="inlineStr">
        <is>
          <t>مخزون الشعير</t>
        </is>
      </c>
      <c r="C23" s="44">
        <f>'التدفق_الشهري'!D18*'الافتراضات'!$C$74/30</f>
        <v/>
      </c>
      <c r="D23" s="31" t="inlineStr">
        <is>
          <t>ج.م</t>
        </is>
      </c>
      <c r="E23" s="32" t="inlineStr">
        <is>
          <t>45 يوماً من تكلفة الشعير</t>
        </is>
      </c>
    </row>
    <row r="24">
      <c r="B24" s="22" t="inlineStr">
        <is>
          <t>مخزون الأرز الجاهز</t>
        </is>
      </c>
      <c r="C24" s="44">
        <f>'التدفق_الشهري'!D14*'الافتراضات'!$C$75/30</f>
        <v/>
      </c>
      <c r="D24" s="31" t="inlineStr">
        <is>
          <t>ج.م</t>
        </is>
      </c>
      <c r="E24" s="32" t="inlineStr"/>
    </row>
    <row r="25">
      <c r="B25" s="22" t="inlineStr">
        <is>
          <t>مخزون العلف الجاهز</t>
        </is>
      </c>
      <c r="C25" s="44">
        <f>'التدفق_الشهري'!D15*'الافتراضات'!$C$76/30</f>
        <v/>
      </c>
      <c r="D25" s="31" t="inlineStr">
        <is>
          <t>ج.م</t>
        </is>
      </c>
      <c r="E25" s="32" t="inlineStr"/>
    </row>
    <row r="26">
      <c r="B26" s="22" t="inlineStr">
        <is>
          <t>مدينون تجاريون</t>
        </is>
      </c>
      <c r="C26" s="44">
        <f>'التدفق_الشهري'!D17*'الافتراضات'!$C$73/30*(1-'الافتراضات'!$C$72)</f>
        <v/>
      </c>
      <c r="D26" s="31" t="inlineStr">
        <is>
          <t>ج.م</t>
        </is>
      </c>
      <c r="E26" s="32" t="inlineStr"/>
    </row>
    <row r="27">
      <c r="B27" s="22" t="inlineStr">
        <is>
          <t>نقدية تشغيلية</t>
        </is>
      </c>
      <c r="C27" s="44">
        <f>'الافتراضات'!$C$78</f>
        <v/>
      </c>
      <c r="D27" s="31" t="inlineStr">
        <is>
          <t>ج.م</t>
        </is>
      </c>
      <c r="E27" s="32" t="inlineStr"/>
    </row>
    <row r="28">
      <c r="B28" s="34" t="inlineStr">
        <is>
          <t>إجمالي الأصول</t>
        </is>
      </c>
      <c r="C28" s="35">
        <f>'الميزانية_الافتتاحية'!$C$21+'الميزانية_الافتتاحية'!$C$22+'الميزانية_الافتتاحية'!$C$23+'الميزانية_الافتتاحية'!$C$24+'الميزانية_الافتتاحية'!$C$25+'الميزانية_الافتتاحية'!$C$26+'الميزانية_الافتتاحية'!$C$27</f>
        <v/>
      </c>
      <c r="D28" s="31" t="inlineStr">
        <is>
          <t>ج.م</t>
        </is>
      </c>
      <c r="E28" s="32" t="inlineStr"/>
    </row>
    <row r="29">
      <c r="B29" s="22" t="inlineStr">
        <is>
          <t>دائنون تجاريون (موردون)</t>
        </is>
      </c>
      <c r="C29" s="44">
        <f>'التدفق_الشهري'!D24*'الافتراضات'!$C$77/30</f>
        <v/>
      </c>
      <c r="D29" s="31" t="inlineStr">
        <is>
          <t>ج.م</t>
        </is>
      </c>
      <c r="E29" s="32" t="inlineStr"/>
    </row>
    <row r="30">
      <c r="B30" s="22" t="inlineStr">
        <is>
          <t>دين</t>
        </is>
      </c>
      <c r="C30" s="44">
        <f>'الميزانية_الافتتاحية'!$C$14</f>
        <v/>
      </c>
      <c r="D30" s="31" t="inlineStr">
        <is>
          <t>ج.م</t>
        </is>
      </c>
      <c r="E30" s="32" t="inlineStr"/>
    </row>
    <row r="31">
      <c r="B31" s="34" t="inlineStr">
        <is>
          <t>إجمالي الخصوم</t>
        </is>
      </c>
      <c r="C31" s="35">
        <f>'الميزانية_الافتتاحية'!$C$29+'الميزانية_الافتتاحية'!$C$30</f>
        <v/>
      </c>
      <c r="D31" s="31" t="inlineStr">
        <is>
          <t>ج.م</t>
        </is>
      </c>
      <c r="E31" s="32" t="inlineStr"/>
    </row>
    <row r="32">
      <c r="B32" s="34" t="inlineStr">
        <is>
          <t>حقوق الملكية (الأصول − الخصوم)</t>
        </is>
      </c>
      <c r="C32" s="35">
        <f>'الميزانية_الافتتاحية'!$C$28-'الميزانية_الافتتاحية'!$C$31</f>
        <v/>
      </c>
      <c r="D32" s="31" t="inlineStr">
        <is>
          <t>ج.م</t>
        </is>
      </c>
      <c r="E32" s="32" t="inlineStr">
        <is>
          <t>يجب أن تساوي حقوق الملكية المطلوبة</t>
        </is>
      </c>
    </row>
    <row r="33">
      <c r="B33" s="45" t="inlineStr">
        <is>
          <t>فحص التوازن (حقوق الملكية − المطلوب)</t>
        </is>
      </c>
      <c r="C33" s="46">
        <f>'الميزانية_الافتتاحية'!$C$32-'الميزانية_الافتتاحية'!$C$15</f>
        <v/>
      </c>
      <c r="D33" s="31" t="inlineStr">
        <is>
          <t>ج.م</t>
        </is>
      </c>
      <c r="E33" s="32" t="inlineStr">
        <is>
          <t>يجب أن يكون صفراً</t>
        </is>
      </c>
    </row>
    <row r="35" ht="26" customHeight="1">
      <c r="B35" s="49" t="inlineStr">
        <is>
          <t>ملاحظة: الميزانية الافتتاحية لا تُظهر التزاماً ضريبياً ولا قروضاً مصرفية في الحالة الأساسية. أي دين يُضاف في حال اختيار هيكل تمويل مختلط.</t>
        </is>
      </c>
    </row>
  </sheetData>
  <mergeCells count="27">
    <mergeCell ref="E24:F24"/>
    <mergeCell ref="E33:F33"/>
    <mergeCell ref="E23:F23"/>
    <mergeCell ref="E14:F14"/>
    <mergeCell ref="E17:F17"/>
    <mergeCell ref="E8:F8"/>
    <mergeCell ref="B12:F12"/>
    <mergeCell ref="B2:F2"/>
    <mergeCell ref="E10:F10"/>
    <mergeCell ref="E29:F29"/>
    <mergeCell ref="E28:F28"/>
    <mergeCell ref="B1:F1"/>
    <mergeCell ref="E9:F9"/>
    <mergeCell ref="E31:F31"/>
    <mergeCell ref="E30:F30"/>
    <mergeCell ref="E15:F15"/>
    <mergeCell ref="B19:F19"/>
    <mergeCell ref="E27:F27"/>
    <mergeCell ref="E26:F26"/>
    <mergeCell ref="E16:F16"/>
    <mergeCell ref="E32:F32"/>
    <mergeCell ref="E7:F7"/>
    <mergeCell ref="E25:F25"/>
    <mergeCell ref="B5:F5"/>
    <mergeCell ref="E22:F22"/>
    <mergeCell ref="E21:F21"/>
    <mergeCell ref="B35:F35"/>
  </mergeCells>
  <pageMargins left="0.75" right="0.75" top="1" bottom="1" header="0.5" footer="0.5"/>
</worksheet>
</file>

<file path=xl/worksheets/sheet11.xml><?xml version="1.0" encoding="utf-8"?>
<worksheet xmlns="http://schemas.openxmlformats.org/spreadsheetml/2006/main">
  <sheetPr>
    <tabColor rgb="00F8CBAD"/>
    <outlinePr summaryBelow="1" summaryRight="1"/>
    <pageSetUpPr/>
  </sheetPr>
  <dimension ref="B1:G74"/>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50" customWidth="1" min="2" max="2"/>
    <col width="20" customWidth="1" min="3" max="3"/>
    <col width="20" customWidth="1" min="4" max="4"/>
    <col width="20" customWidth="1" min="5" max="5"/>
    <col width="20" customWidth="1" min="6" max="6"/>
  </cols>
  <sheetData>
    <row r="1" ht="30" customHeight="1">
      <c r="B1" s="25" t="inlineStr">
        <is>
          <t>مؤشرات الجدوى — NPV / IRR / فترة الاسترداد / نقطة التعادل</t>
        </is>
      </c>
      <c r="C1" s="2" t="n"/>
      <c r="D1" s="2" t="n"/>
      <c r="E1" s="2" t="n"/>
      <c r="F1" s="2" t="n"/>
    </row>
    <row r="2">
      <c r="B2" s="26" t="inlineStr">
        <is>
          <t>مبنية على النموذج المعدّل (120 شهراً). جميع المؤشرات تتغيّر تلقائياً بتغيير «سيناريو التشغيل» في ورقة الافتراضات.</t>
        </is>
      </c>
    </row>
    <row r="5" ht="21" customHeight="1">
      <c r="B5" s="27" t="inlineStr">
        <is>
          <t>أولاً: هيكل الاستثمار والعائد</t>
        </is>
      </c>
      <c r="C5" s="28" t="n"/>
      <c r="D5" s="28" t="n"/>
      <c r="E5" s="28" t="n"/>
      <c r="F5" s="28" t="n"/>
    </row>
    <row r="6" ht="18" customHeight="1">
      <c r="B6" s="38" t="inlineStr">
        <is>
          <t>المؤشر</t>
        </is>
      </c>
      <c r="C6" s="38" t="inlineStr">
        <is>
          <t>القيمة</t>
        </is>
      </c>
      <c r="D6" s="38" t="inlineStr">
        <is>
          <t>الوحدة</t>
        </is>
      </c>
      <c r="E6" s="38" t="inlineStr">
        <is>
          <t>المرجع / المعادلة</t>
        </is>
      </c>
      <c r="F6" s="38" t="inlineStr"/>
      <c r="G6" s="38" t="inlineStr"/>
    </row>
    <row r="7">
      <c r="B7" s="22" t="inlineStr">
        <is>
          <t>إجمالي الاستثمار الرأسمالي (CAPEX)</t>
        </is>
      </c>
      <c r="C7" s="44">
        <f>'CAPEX'!$C$37</f>
        <v/>
      </c>
      <c r="D7" s="31" t="inlineStr">
        <is>
          <t>ج.م</t>
        </is>
      </c>
      <c r="E7" s="32" t="inlineStr">
        <is>
          <t>المقارنة: الدراسة 1,520,000 ج</t>
        </is>
      </c>
    </row>
    <row r="8">
      <c r="B8" s="22" t="inlineStr">
        <is>
          <t>مصروفات ما قبل التشغيل</t>
        </is>
      </c>
      <c r="C8" s="44">
        <f>'CAPEX'!$C$43</f>
        <v/>
      </c>
      <c r="D8" s="31" t="inlineStr">
        <is>
          <t>ج.م</t>
        </is>
      </c>
      <c r="E8" s="32" t="inlineStr">
        <is>
          <t>غير موجودة في الدراسة</t>
        </is>
      </c>
    </row>
    <row r="9">
      <c r="B9" s="22" t="inlineStr">
        <is>
          <t>رأس المال العامل التشغيلي</t>
        </is>
      </c>
      <c r="C9" s="44">
        <f>'التدفق_الشهري'!$D$33</f>
        <v/>
      </c>
      <c r="D9" s="31" t="inlineStr">
        <is>
          <t>ج.م</t>
        </is>
      </c>
      <c r="E9" s="32" t="inlineStr">
        <is>
          <t>⚠ الدراسة: 1,091,450 ج فقط</t>
        </is>
      </c>
    </row>
    <row r="10">
      <c r="B10" s="45" t="inlineStr">
        <is>
          <t>إجمالي الاستثمار المبدئي</t>
        </is>
      </c>
      <c r="C10" s="46">
        <f>'CAPEX'!$C$37+'CAPEX'!$C$43+'التدفق_الشهري'!$D$33</f>
        <v/>
      </c>
      <c r="D10" s="31" t="inlineStr">
        <is>
          <t>ج.م</t>
        </is>
      </c>
      <c r="E10" s="32" t="inlineStr">
        <is>
          <t>المقارنة: الدراسة 2,611,450 ج</t>
        </is>
      </c>
    </row>
    <row r="11">
      <c r="B11" s="22" t="inlineStr">
        <is>
          <t>الإيراد السنوي (سنة 1)</t>
        </is>
      </c>
      <c r="C11" s="44">
        <f>'التدفق_السنوي'!D10</f>
        <v/>
      </c>
      <c r="D11" s="31" t="inlineStr">
        <is>
          <t>ج.م</t>
        </is>
      </c>
      <c r="E11" s="32" t="inlineStr">
        <is>
          <t>الدراسة: 14,610,000 ج</t>
        </is>
      </c>
    </row>
    <row r="12">
      <c r="B12" s="22" t="inlineStr">
        <is>
          <t>EBITDA (سنة 1)</t>
        </is>
      </c>
      <c r="C12" s="44">
        <f>'التدفق_السنوي'!D14</f>
        <v/>
      </c>
      <c r="D12" s="31" t="inlineStr">
        <is>
          <t>ج.م</t>
        </is>
      </c>
      <c r="E12" s="32" t="inlineStr">
        <is>
          <t>⚠ الدراسة: 1,512,600 ج</t>
        </is>
      </c>
    </row>
    <row r="13">
      <c r="B13" s="34" t="inlineStr">
        <is>
          <t>هامش EBITDA</t>
        </is>
      </c>
      <c r="C13" s="39">
        <f>'التدفق_السنوي'!D14/'التدفق_السنوي'!D10</f>
        <v/>
      </c>
      <c r="D13" s="31" t="inlineStr">
        <is>
          <t>%</t>
        </is>
      </c>
      <c r="E13" s="32" t="inlineStr">
        <is>
          <t>⚠ الدراسة: 10.35%</t>
        </is>
      </c>
    </row>
    <row r="14">
      <c r="B14" s="22" t="inlineStr">
        <is>
          <t>صافي الربح (سنة 1)</t>
        </is>
      </c>
      <c r="C14" s="44">
        <f>'التدفق_السنوي'!D18</f>
        <v/>
      </c>
      <c r="D14" s="31" t="inlineStr">
        <is>
          <t>ج.م</t>
        </is>
      </c>
      <c r="E14" s="32" t="inlineStr"/>
    </row>
    <row r="15">
      <c r="B15" s="34" t="inlineStr">
        <is>
          <t>العائد على الاستثمار الإجمالي (صافي الربح ÷ الاستثمار)</t>
        </is>
      </c>
      <c r="C15" s="39">
        <f>'التدفق_السنوي'!D18/'المؤشرات'!$C$10</f>
        <v/>
      </c>
      <c r="D15" s="31" t="inlineStr">
        <is>
          <t>%</t>
        </is>
      </c>
      <c r="E15" s="32" t="inlineStr">
        <is>
          <t>ROI سنة 1</t>
        </is>
      </c>
    </row>
    <row r="16">
      <c r="B16" s="34" t="inlineStr">
        <is>
          <t>العائد على CAPEX (EBITDA ÷ CAPEX)</t>
        </is>
      </c>
      <c r="C16" s="39">
        <f>'التدفق_السنوي'!D14/'CAPEX'!$C$37</f>
        <v/>
      </c>
      <c r="D16" s="31" t="inlineStr">
        <is>
          <t>%</t>
        </is>
      </c>
      <c r="E16" s="32" t="inlineStr">
        <is>
          <t>ROIC تقريبي</t>
        </is>
      </c>
    </row>
    <row r="18" ht="21" customHeight="1">
      <c r="B18" s="27" t="inlineStr">
        <is>
          <t>ثانياً: صافي القيمة الحالية ومعدل العائد الداخلي</t>
        </is>
      </c>
      <c r="C18" s="28" t="n"/>
      <c r="D18" s="28" t="n"/>
      <c r="E18" s="28" t="n"/>
      <c r="F18" s="28" t="n"/>
    </row>
    <row r="19" ht="18" customHeight="1">
      <c r="B19" s="38" t="inlineStr">
        <is>
          <t>المؤشر</t>
        </is>
      </c>
      <c r="C19" s="38" t="inlineStr">
        <is>
          <t>القيمة</t>
        </is>
      </c>
      <c r="D19" s="38" t="inlineStr">
        <is>
          <t>الوحدة</t>
        </is>
      </c>
      <c r="E19" s="38" t="inlineStr">
        <is>
          <t>المرجع / المعادلة</t>
        </is>
      </c>
      <c r="F19" s="38" t="inlineStr"/>
      <c r="G19" s="38" t="inlineStr"/>
    </row>
    <row r="20">
      <c r="B20" s="34" t="inlineStr">
        <is>
          <t>معدل الخصم المستخدم</t>
        </is>
      </c>
      <c r="C20" s="39">
        <f>'الافتراضات'!$F$28</f>
        <v/>
      </c>
      <c r="D20" s="31" t="inlineStr">
        <is>
          <t>%</t>
        </is>
      </c>
      <c r="E20" s="32" t="inlineStr">
        <is>
          <t>حسب السيناريو النشط</t>
        </is>
      </c>
    </row>
    <row r="21">
      <c r="B21" s="45" t="inlineStr">
        <is>
          <t>NPV — 10 سنوات</t>
        </is>
      </c>
      <c r="C21" s="46">
        <f>'التدفق_السنوي'!M24</f>
        <v/>
      </c>
      <c r="D21" s="31" t="inlineStr">
        <is>
          <t>ج.م</t>
        </is>
      </c>
      <c r="E21" s="32" t="inlineStr">
        <is>
          <t>⚠ الدراسة: 9,335,244 ج إيجابية</t>
        </is>
      </c>
    </row>
    <row r="22">
      <c r="B22" s="45" t="inlineStr">
        <is>
          <t>IRR — 10 سنوات</t>
        </is>
      </c>
      <c r="C22" s="52">
        <f>IFERROR(IRR('التدفق_السنوي'!$C$21:$M$21),0)</f>
        <v/>
      </c>
      <c r="D22" s="31" t="inlineStr">
        <is>
          <t>%</t>
        </is>
      </c>
      <c r="E22" s="32" t="inlineStr">
        <is>
          <t>⚠ الدراسة: 65.7%</t>
        </is>
      </c>
    </row>
    <row r="23">
      <c r="B23" s="34" t="inlineStr">
        <is>
          <t>NPV — 5 سنوات</t>
        </is>
      </c>
      <c r="C23" s="35">
        <f>'التدفق_السنوي'!H24</f>
        <v/>
      </c>
      <c r="D23" s="31" t="inlineStr">
        <is>
          <t>ج.م</t>
        </is>
      </c>
      <c r="E23" s="32" t="inlineStr">
        <is>
          <t>أفق 5 سنوات</t>
        </is>
      </c>
    </row>
    <row r="24">
      <c r="B24" s="34" t="inlineStr">
        <is>
          <t>IRR — 5 سنوات (بدون قيمة تخريبية)</t>
        </is>
      </c>
      <c r="C24" s="39">
        <f>IFERROR(IRR('التدفق_السنوي'!$C$21:$H$21),"غير محدد")</f>
        <v/>
      </c>
      <c r="D24" s="31" t="inlineStr">
        <is>
          <t>%</t>
        </is>
      </c>
      <c r="E24" s="32" t="inlineStr">
        <is>
          <t>لا يشمل استرداد رأس المال العامل في السنة 10</t>
        </is>
      </c>
    </row>
    <row r="25">
      <c r="B25" s="34" t="inlineStr">
        <is>
          <t>مؤشر الربحية (PI)</t>
        </is>
      </c>
      <c r="C25" s="41">
        <f>('المؤشرات'!$C$21+'CAPEX'!$C$44)/'CAPEX'!$C$44</f>
        <v/>
      </c>
      <c r="D25" s="31" t="inlineStr">
        <is>
          <t>x</t>
        </is>
      </c>
      <c r="E25" s="32" t="inlineStr">
        <is>
          <t>القيمة الحالية للتدفقات الداخلة ÷ الاستثمار</t>
        </is>
      </c>
    </row>
    <row r="27" ht="21" customHeight="1">
      <c r="B27" s="27" t="inlineStr">
        <is>
          <t>ثالثاً: فترة الاسترداد</t>
        </is>
      </c>
      <c r="C27" s="28" t="n"/>
      <c r="D27" s="28" t="n"/>
      <c r="E27" s="28" t="n"/>
      <c r="F27" s="28" t="n"/>
    </row>
    <row r="28" ht="18" customHeight="1">
      <c r="B28" s="38" t="inlineStr">
        <is>
          <t>المؤشر</t>
        </is>
      </c>
      <c r="C28" s="38" t="inlineStr">
        <is>
          <t>القيمة</t>
        </is>
      </c>
      <c r="D28" s="38" t="inlineStr">
        <is>
          <t>الوحدة</t>
        </is>
      </c>
      <c r="E28" s="38" t="inlineStr">
        <is>
          <t>المرجع / المعادلة</t>
        </is>
      </c>
      <c r="F28" s="38" t="inlineStr"/>
      <c r="G28" s="38" t="inlineStr"/>
    </row>
    <row r="29">
      <c r="B29" s="34" t="inlineStr">
        <is>
          <t>عدد السنوات ذات التدفق التراكمي السالب</t>
        </is>
      </c>
      <c r="C29" s="68">
        <f>COUNTIF('التدفق_السنوي'!$C$22:$M$22,"&lt;0")</f>
        <v/>
      </c>
      <c r="D29" s="31" t="inlineStr">
        <is>
          <t>سنة</t>
        </is>
      </c>
      <c r="E29" s="32" t="inlineStr">
        <is>
          <t>يشمل السنة 0</t>
        </is>
      </c>
    </row>
    <row r="30">
      <c r="B30" s="45" t="inlineStr">
        <is>
          <t>فترة الاسترداد البسيطة</t>
        </is>
      </c>
      <c r="C30" s="55">
        <f>IFERROR(COUNTIF('التدفق_السنوي'!$C$22:$M$22,"&lt;0")-1+(-INDEX('التدفق_السنوي'!$C$22:$M$22,1,COUNTIF('التدفق_السنوي'!$C$22:$M$22,"&lt;0")))/INDEX('التدفق_السنوي'!$C$21:$M$21,1,COUNTIF('التدفق_السنوي'!$C$22:$M$22,"&lt;0")+1),"أطول من العمر")</f>
        <v/>
      </c>
      <c r="D30" s="31" t="inlineStr">
        <is>
          <t>سنة</t>
        </is>
      </c>
      <c r="E30" s="32" t="inlineStr">
        <is>
          <t>⚠ الدراسة: 1.73 سنة (منهجية مختلفة تماماً)</t>
        </is>
      </c>
    </row>
    <row r="31">
      <c r="B31" s="45" t="inlineStr">
        <is>
          <t>فترة الاسترداد المخصومة</t>
        </is>
      </c>
      <c r="C31" s="55">
        <f>IFERROR(COUNTIF('التدفق_السنوي'!$C$24:$M$24,"&lt;0")-1+(-INDEX('التدفق_السنوي'!$C$24:$M$24,1,COUNTIF('التدفق_السنوي'!$C$24:$M$24,"&lt;0")))/INDEX('التدفق_السنوي'!$C$23:$M$23,1,COUNTIF('التدفق_السنوي'!$C$24:$M$24,"&lt;0")+1),"أطول من العمر")</f>
        <v/>
      </c>
      <c r="D31" s="31" t="inlineStr">
        <is>
          <t>سنة</t>
        </is>
      </c>
      <c r="E31" s="32" t="inlineStr">
        <is>
          <t>بعد خصم التدفقات بمعدل الخصم</t>
        </is>
      </c>
    </row>
    <row r="33" ht="21" customHeight="1">
      <c r="B33" s="27" t="inlineStr">
        <is>
          <t>رابعاً: نقطة التعادل (سنوي)</t>
        </is>
      </c>
      <c r="C33" s="28" t="n"/>
      <c r="D33" s="28" t="n"/>
      <c r="E33" s="28" t="n"/>
      <c r="F33" s="28" t="n"/>
    </row>
    <row r="34" ht="18" customHeight="1">
      <c r="B34" s="38" t="inlineStr">
        <is>
          <t>المؤشر</t>
        </is>
      </c>
      <c r="C34" s="38" t="inlineStr">
        <is>
          <t>القيمة</t>
        </is>
      </c>
      <c r="D34" s="38" t="inlineStr">
        <is>
          <t>الوحدة</t>
        </is>
      </c>
      <c r="E34" s="38" t="inlineStr">
        <is>
          <t>المرجع / المعادلة</t>
        </is>
      </c>
      <c r="F34" s="38" t="inlineStr"/>
      <c r="G34" s="38" t="inlineStr"/>
    </row>
    <row r="35">
      <c r="B35" s="34" t="inlineStr">
        <is>
          <t>نسبة هامش المساهمة</t>
        </is>
      </c>
      <c r="C35" s="39">
        <f>('التدفق_السنوي'!D10-'التدفق_السنوي'!D11)/'التدفق_السنوي'!D10</f>
        <v/>
      </c>
      <c r="D35" s="31" t="inlineStr">
        <is>
          <t>%</t>
        </is>
      </c>
      <c r="E35" s="32" t="inlineStr"/>
    </row>
    <row r="36">
      <c r="B36" s="45" t="inlineStr">
        <is>
          <t>نقطة التعادل بالإيراد (قيمة)</t>
        </is>
      </c>
      <c r="C36" s="46">
        <f>'التدفق_السنوي'!D13/C35</f>
        <v/>
      </c>
      <c r="D36" s="31" t="inlineStr">
        <is>
          <t>ج.م/سنة</t>
        </is>
      </c>
      <c r="E36" s="32" t="inlineStr">
        <is>
          <t>التكاليف الثابتة ÷ نسبة هامش المساهمة</t>
        </is>
      </c>
    </row>
    <row r="37">
      <c r="B37" s="34" t="inlineStr">
        <is>
          <t>نسبة الاستغلال عند التعادل</t>
        </is>
      </c>
      <c r="C37" s="39">
        <f>C36/'التدفق_السنوي'!D10</f>
        <v/>
      </c>
      <c r="D37" s="31" t="inlineStr">
        <is>
          <t>%</t>
        </is>
      </c>
      <c r="E37" s="32" t="inlineStr">
        <is>
          <t>⚠ الدراسة: 43.9%</t>
        </is>
      </c>
    </row>
    <row r="38">
      <c r="B38" s="34" t="inlineStr">
        <is>
          <t>هامش الأمان</t>
        </is>
      </c>
      <c r="C38" s="39">
        <f>1-C37</f>
        <v/>
      </c>
      <c r="D38" s="31" t="inlineStr">
        <is>
          <t>%</t>
        </is>
      </c>
      <c r="E38" s="32" t="inlineStr">
        <is>
          <t>نسبة الانخفاض في المبيعات قبل الخسارة</t>
        </is>
      </c>
    </row>
    <row r="39">
      <c r="B39" s="22" t="inlineStr">
        <is>
          <t>هامش المساهمة للطن شعير</t>
        </is>
      </c>
      <c r="C39" s="48">
        <f>('الإيرادات'!$C$19-'OPEX'!$C$23)/'OPEX'!$C$7</f>
        <v/>
      </c>
      <c r="D39" s="31" t="inlineStr">
        <is>
          <t>ج.م/طن</t>
        </is>
      </c>
      <c r="E39" s="32" t="inlineStr"/>
    </row>
    <row r="40">
      <c r="B40" s="45" t="inlineStr">
        <is>
          <t>نقطة التعادل بالكمية (طن شعير/شهر)</t>
        </is>
      </c>
      <c r="C40" s="56">
        <f>'الافتراضات'!$C$104/C39</f>
        <v/>
      </c>
      <c r="D40" s="31" t="inlineStr">
        <is>
          <t>طن/شهر</t>
        </is>
      </c>
      <c r="E40" s="32" t="inlineStr">
        <is>
          <t>المقارنة: الطاقة المتاحة 52 طن/شهر</t>
        </is>
      </c>
    </row>
    <row r="41">
      <c r="B41" s="34" t="inlineStr">
        <is>
          <t>نقطة التعادل كنسبة من الطاقة</t>
        </is>
      </c>
      <c r="C41" s="39">
        <f>C40/'OPEX'!$C$7</f>
        <v/>
      </c>
      <c r="D41" s="31" t="inlineStr">
        <is>
          <t>%</t>
        </is>
      </c>
      <c r="E41" s="32" t="inlineStr"/>
    </row>
    <row r="42">
      <c r="B42" s="34" t="inlineStr">
        <is>
          <t>نقطة التعادل النقدية (بدون اهتلاك)</t>
        </is>
      </c>
      <c r="C42" s="69">
        <f>('الافتراضات'!$C$104-'CAPEX'!$C$50/12)/C39</f>
        <v/>
      </c>
      <c r="D42" s="31" t="inlineStr">
        <is>
          <t>طن/شهر</t>
        </is>
      </c>
      <c r="E42" s="32" t="inlineStr">
        <is>
          <t>أدنى مستوى للتشغيل دون نزيف نقدي</t>
        </is>
      </c>
    </row>
    <row r="43">
      <c r="B43" s="34" t="inlineStr">
        <is>
          <t>نقطة تعادل مصنع العلف</t>
        </is>
      </c>
      <c r="C43" s="69">
        <f>'الافتراضات'!$C$99/'تكلفة_الوحدة'!$C$49</f>
        <v/>
      </c>
      <c r="D43" s="31" t="inlineStr">
        <is>
          <t>طن/شهر</t>
        </is>
      </c>
      <c r="E43" s="32" t="inlineStr">
        <is>
          <t>مقارنة بالإنتاج الفعلي 16.9 طن/شهر</t>
        </is>
      </c>
    </row>
    <row r="44">
      <c r="B44" s="34" t="inlineStr">
        <is>
          <t>صافي تكلفة كجم الأرز بعد رصيد النواتج (مقابل سعر 25.0)</t>
        </is>
      </c>
      <c r="C44" s="69">
        <f>'تكلفة_الوحدة'!$C$29</f>
        <v/>
      </c>
      <c r="D44" s="31" t="inlineStr">
        <is>
          <t>ج.م/كجم</t>
        </is>
      </c>
      <c r="E44" s="32" t="inlineStr">
        <is>
          <t>⚠ التكلفة قبل رصيد النواتج تتجاوز سعر البيع ⇒ الأرز وحده لا يغطي تكلفته</t>
        </is>
      </c>
    </row>
    <row r="46" ht="21" customHeight="1">
      <c r="B46" s="27" t="inlineStr">
        <is>
          <t>خامساً: NPV عند معدلات خصم مختلفة</t>
        </is>
      </c>
      <c r="C46" s="28" t="n"/>
      <c r="D46" s="28" t="n"/>
      <c r="E46" s="28" t="n"/>
      <c r="F46" s="28" t="n"/>
    </row>
    <row r="47" ht="18" customHeight="1">
      <c r="B47" s="38" t="inlineStr">
        <is>
          <t>معدل الخصم</t>
        </is>
      </c>
      <c r="C47" s="38" t="inlineStr">
        <is>
          <t>NPV (ج.م)</t>
        </is>
      </c>
      <c r="D47" s="38" t="inlineStr">
        <is>
          <t>IRR مقارن</t>
        </is>
      </c>
      <c r="E47" s="38" t="inlineStr">
        <is>
          <t>الحكم</t>
        </is>
      </c>
      <c r="F47" s="38" t="inlineStr"/>
      <c r="G47" s="38" t="inlineStr"/>
    </row>
    <row r="48">
      <c r="B48" s="22" t="inlineStr">
        <is>
          <t>NPV @ 8%</t>
        </is>
      </c>
      <c r="C48" s="50">
        <f>NPV(0.08,'التدفق_السنوي'!$D$21:$M$21)+'التدفق_السنوي'!$C$21</f>
        <v/>
      </c>
      <c r="D48" s="70">
        <f>IF(C48&gt;0,"مقبول","مرفوض")</f>
        <v/>
      </c>
      <c r="E48" s="12" t="inlineStr">
        <is>
          <t>المقارنة مع معدل الخصم النشط أعلاه</t>
        </is>
      </c>
    </row>
    <row r="49">
      <c r="B49" s="22" t="inlineStr">
        <is>
          <t>NPV @ 12%</t>
        </is>
      </c>
      <c r="C49" s="50">
        <f>NPV(0.12,'التدفق_السنوي'!$D$21:$M$21)+'التدفق_السنوي'!$C$21</f>
        <v/>
      </c>
      <c r="D49" s="70">
        <f>IF(C49&gt;0,"مقبول","مرفوض")</f>
        <v/>
      </c>
      <c r="E49" s="12" t="inlineStr">
        <is>
          <t>المقارنة مع معدل الخصم النشط أعلاه</t>
        </is>
      </c>
    </row>
    <row r="50">
      <c r="B50" s="22" t="inlineStr">
        <is>
          <t>NPV @ 16%</t>
        </is>
      </c>
      <c r="C50" s="50">
        <f>NPV(0.16,'التدفق_السنوي'!$D$21:$M$21)+'التدفق_السنوي'!$C$21</f>
        <v/>
      </c>
      <c r="D50" s="70">
        <f>IF(C50&gt;0,"مقبول","مرفوض")</f>
        <v/>
      </c>
      <c r="E50" s="12" t="inlineStr">
        <is>
          <t>المقارنة مع معدل الخصم النشط أعلاه</t>
        </is>
      </c>
    </row>
    <row r="51">
      <c r="B51" s="22" t="inlineStr">
        <is>
          <t>NPV @ 20%</t>
        </is>
      </c>
      <c r="C51" s="50">
        <f>NPV(0.2,'التدفق_السنوي'!$D$21:$M$21)+'التدفق_السنوي'!$C$21</f>
        <v/>
      </c>
      <c r="D51" s="70">
        <f>IF(C51&gt;0,"مقبول","مرفوض")</f>
        <v/>
      </c>
      <c r="E51" s="12" t="inlineStr">
        <is>
          <t>المقارنة مع معدل الخصم النشط أعلاه</t>
        </is>
      </c>
    </row>
    <row r="52">
      <c r="B52" s="22" t="inlineStr">
        <is>
          <t>NPV @ 25%</t>
        </is>
      </c>
      <c r="C52" s="50">
        <f>NPV(0.25,'التدفق_السنوي'!$D$21:$M$21)+'التدفق_السنوي'!$C$21</f>
        <v/>
      </c>
      <c r="D52" s="70">
        <f>IF(C52&gt;0,"مقبول","مرفوض")</f>
        <v/>
      </c>
      <c r="E52" s="12" t="inlineStr">
        <is>
          <t>المقارنة مع معدل الخصم النشط أعلاه</t>
        </is>
      </c>
    </row>
    <row r="54" ht="21" customHeight="1">
      <c r="B54" s="27" t="inlineStr">
        <is>
          <t>سادساً: أثر فترة الإقلاع والتشغيل التجريبي (بند مُغفَل في الدراسة)</t>
        </is>
      </c>
      <c r="C54" s="28" t="n"/>
      <c r="D54" s="28" t="n"/>
      <c r="E54" s="28" t="n"/>
      <c r="F54" s="28" t="n"/>
    </row>
    <row r="55" ht="18" customHeight="1">
      <c r="B55" s="38" t="inlineStr">
        <is>
          <t>المؤشر</t>
        </is>
      </c>
      <c r="C55" s="38" t="inlineStr">
        <is>
          <t>القيمة</t>
        </is>
      </c>
      <c r="D55" s="38" t="inlineStr">
        <is>
          <t>الوحدة</t>
        </is>
      </c>
      <c r="E55" s="38" t="inlineStr">
        <is>
          <t>المرجع / المعادلة</t>
        </is>
      </c>
      <c r="F55" s="38" t="inlineStr"/>
      <c r="G55" s="38" t="inlineStr"/>
    </row>
    <row r="56">
      <c r="B56" s="22" t="inlineStr">
        <is>
          <t>هامش المساهمة الشهري عند الطاقة الكاملة</t>
        </is>
      </c>
      <c r="C56" s="44">
        <f>('الإيرادات'!$C$19-'OPEX'!$C$23)</f>
        <v/>
      </c>
      <c r="D56" s="31" t="inlineStr">
        <is>
          <t>ج.م/شهر</t>
        </is>
      </c>
      <c r="E56" s="32" t="inlineStr"/>
    </row>
    <row r="57">
      <c r="B57" s="34" t="inlineStr">
        <is>
          <t>هامش المساهمة السنوي</t>
        </is>
      </c>
      <c r="C57" s="35">
        <f>'المؤشرات'!$C$56*12</f>
        <v/>
      </c>
      <c r="D57" s="31" t="inlineStr">
        <is>
          <t>ج.م/سنة</t>
        </is>
      </c>
      <c r="E57" s="32" t="inlineStr"/>
    </row>
    <row r="58">
      <c r="B58" s="45" t="inlineStr">
        <is>
          <t>أثر الإقلاع: 6 أشهر بمتوسط استغلال 70%</t>
        </is>
      </c>
      <c r="C58" s="46">
        <f>-'المؤشرات'!$C$56*6*0.30</f>
        <v/>
      </c>
      <c r="D58" s="31" t="inlineStr">
        <is>
          <t>ج.م</t>
        </is>
      </c>
      <c r="E58" s="32" t="inlineStr">
        <is>
          <t>⚠ خسارة هامش مساهمة إضافية لا تُظهرها الدراسة إطلاقاً</t>
        </is>
      </c>
    </row>
    <row r="59">
      <c r="B59" s="45" t="inlineStr">
        <is>
          <t>أثر إضافي: تأخر دراسة التصنيع وشراء الشعير الموسمي</t>
        </is>
      </c>
      <c r="C59" s="46">
        <f>-'المؤشرات'!$C$56*0.15</f>
        <v/>
      </c>
      <c r="D59" s="31" t="inlineStr">
        <is>
          <t>ج.م</t>
        </is>
      </c>
      <c r="E59" s="32" t="inlineStr">
        <is>
          <t>تعطل شهر جزئي إضافي</t>
        </is>
      </c>
    </row>
    <row r="62" ht="21" customHeight="1">
      <c r="B62" s="27" t="inlineStr">
        <is>
          <t>سابعاً: أثر هيكل التمويل بالدين (تحليل مستقل — 50% دين)</t>
        </is>
      </c>
      <c r="C62" s="28" t="n"/>
      <c r="D62" s="28" t="n"/>
      <c r="E62" s="28" t="n"/>
      <c r="F62" s="28" t="n"/>
    </row>
    <row r="63" ht="18" customHeight="1">
      <c r="B63" s="38" t="inlineStr">
        <is>
          <t>المؤشر</t>
        </is>
      </c>
      <c r="C63" s="38" t="inlineStr">
        <is>
          <t>القيمة</t>
        </is>
      </c>
      <c r="D63" s="38" t="inlineStr">
        <is>
          <t>الوحدة</t>
        </is>
      </c>
      <c r="E63" s="38" t="inlineStr">
        <is>
          <t>المرجع / المعادلة</t>
        </is>
      </c>
      <c r="F63" s="38" t="inlineStr"/>
      <c r="G63" s="38" t="inlineStr"/>
    </row>
    <row r="64">
      <c r="B64" s="22" t="inlineStr">
        <is>
          <t>مبلغ الدين (50% من الاستثمار)</t>
        </is>
      </c>
      <c r="C64" s="44">
        <f>0.5*'المؤشرات'!$C$10</f>
        <v/>
      </c>
      <c r="D64" s="31" t="inlineStr">
        <is>
          <t>ج.م</t>
        </is>
      </c>
      <c r="E64" s="32" t="inlineStr">
        <is>
          <t>بافتراض موافقة بنكية</t>
        </is>
      </c>
    </row>
    <row r="65">
      <c r="B65" s="22" t="inlineStr">
        <is>
          <t>القسط السنوي للسداد (أصل)</t>
        </is>
      </c>
      <c r="C65" s="44">
        <f>C64/'الافتراضات'!$C$15</f>
        <v/>
      </c>
      <c r="D65" s="31" t="inlineStr">
        <is>
          <t>ج.م/سنة</t>
        </is>
      </c>
      <c r="E65" s="32" t="inlineStr">
        <is>
          <t>سداد متساوٍ</t>
        </is>
      </c>
    </row>
    <row r="66">
      <c r="B66" s="22" t="inlineStr">
        <is>
          <t>الفائدة السنوية (سنة 1)</t>
        </is>
      </c>
      <c r="C66" s="44">
        <f>C64*'الافتراضات'!$C$14</f>
        <v/>
      </c>
      <c r="D66" s="31" t="inlineStr">
        <is>
          <t>ج.م/سنة</t>
        </is>
      </c>
      <c r="E66" s="32" t="inlineStr">
        <is>
          <t>15% متناقص — يُحسب على الرصيد</t>
        </is>
      </c>
    </row>
    <row r="67">
      <c r="B67" s="22" t="inlineStr">
        <is>
          <t>EBIT (سنة 2)</t>
        </is>
      </c>
      <c r="C67" s="44">
        <f>'التدفق_السنوي'!E16</f>
        <v/>
      </c>
      <c r="D67" s="31" t="inlineStr">
        <is>
          <t>ج.م</t>
        </is>
      </c>
      <c r="E67" s="32" t="inlineStr"/>
    </row>
    <row r="68">
      <c r="B68" s="22" t="inlineStr">
        <is>
          <t>الربح قبل الضريبة بعد الفائدة</t>
        </is>
      </c>
      <c r="C68" s="44">
        <f>C67-C66</f>
        <v/>
      </c>
      <c r="D68" s="31" t="inlineStr">
        <is>
          <t>ج.م</t>
        </is>
      </c>
      <c r="E68" s="32" t="inlineStr"/>
    </row>
    <row r="69">
      <c r="B69" s="22" t="inlineStr">
        <is>
          <t>الضريبة بعد الفائدة</t>
        </is>
      </c>
      <c r="C69" s="44">
        <f>MAX(0,C68)*'الافتراضات'!$C$11</f>
        <v/>
      </c>
      <c r="D69" s="31" t="inlineStr">
        <is>
          <t>ج.م</t>
        </is>
      </c>
      <c r="E69" s="32" t="inlineStr">
        <is>
          <t>الفائدة معفاة ضريبياً</t>
        </is>
      </c>
    </row>
    <row r="70">
      <c r="B70" s="34" t="inlineStr">
        <is>
          <t>صافي الربح لصالح المالك</t>
        </is>
      </c>
      <c r="C70" s="35">
        <f>C68-C69</f>
        <v/>
      </c>
      <c r="D70" s="31" t="inlineStr">
        <is>
          <t>ج.م</t>
        </is>
      </c>
      <c r="E70" s="32" t="inlineStr"/>
    </row>
    <row r="71">
      <c r="B71" s="34" t="inlineStr">
        <is>
          <t>التدفق النقدي لصالح حقوق الملكية (FCFE)</t>
        </is>
      </c>
      <c r="C71" s="35">
        <f>'التدفق_السنوي'!E14-C66-C65-C69</f>
        <v/>
      </c>
      <c r="D71" s="31" t="inlineStr">
        <is>
          <t>ج.م</t>
        </is>
      </c>
      <c r="E71" s="32" t="inlineStr">
        <is>
          <t>EBITDA − فائدة − أصل − ضريبة</t>
        </is>
      </c>
    </row>
    <row r="72">
      <c r="B72" s="34" t="inlineStr">
        <is>
          <t>العائد على حقوق الملكية (بعد خدمة الدين)</t>
        </is>
      </c>
      <c r="C72" s="39">
        <f>C70/('المؤشرات'!$C$10-C64)</f>
        <v/>
      </c>
      <c r="D72" s="31" t="inlineStr">
        <is>
          <t>%</t>
        </is>
      </c>
      <c r="E72" s="32" t="inlineStr">
        <is>
          <t>مقارنة بالعائد بدون دين</t>
        </is>
      </c>
    </row>
    <row r="73">
      <c r="B73" s="45" t="inlineStr">
        <is>
          <t>خدمة الدين السنوية ÷ EBITDA</t>
        </is>
      </c>
      <c r="C73" s="71">
        <f>(C65+C66)/'التدفق_السنوي'!E14</f>
        <v/>
      </c>
      <c r="D73" s="31" t="inlineStr">
        <is>
          <t>x</t>
        </is>
      </c>
      <c r="E73" s="32" t="inlineStr">
        <is>
          <t>⚠ مؤشر تغطية خدمة الدين — مرتفع جداً ⇒ خطر تعثر</t>
        </is>
      </c>
    </row>
    <row r="74" ht="26" customHeight="1">
      <c r="B74" s="49" t="inlineStr">
        <is>
          <t>تحذير: بما أن العائد الداخلي للمشروع (≈10%) أقل من سعر فائدة الدين (15%)، فإن الاستدانة تُخفّض عائد حقوق الملكية ولا ترفعه (رفع مالي سلبي). تمويل المشروع بالدين يزيد المخاطر دون تحسين القيمة.</t>
        </is>
      </c>
    </row>
  </sheetData>
  <mergeCells count="58">
    <mergeCell ref="E43:F43"/>
    <mergeCell ref="E12:F12"/>
    <mergeCell ref="B54:F54"/>
    <mergeCell ref="E24:F24"/>
    <mergeCell ref="B62:F62"/>
    <mergeCell ref="E68:F68"/>
    <mergeCell ref="E71:F71"/>
    <mergeCell ref="E67:F67"/>
    <mergeCell ref="E42:F42"/>
    <mergeCell ref="E23:F23"/>
    <mergeCell ref="B46:F46"/>
    <mergeCell ref="E14:F14"/>
    <mergeCell ref="E39:F39"/>
    <mergeCell ref="B18:F18"/>
    <mergeCell ref="E8:F8"/>
    <mergeCell ref="B27:F27"/>
    <mergeCell ref="E44:F44"/>
    <mergeCell ref="E64:F64"/>
    <mergeCell ref="E35:F35"/>
    <mergeCell ref="E73:F73"/>
    <mergeCell ref="E20:F20"/>
    <mergeCell ref="E38:F38"/>
    <mergeCell ref="E49:G49"/>
    <mergeCell ref="B2:F2"/>
    <mergeCell ref="E10:F10"/>
    <mergeCell ref="E29:F29"/>
    <mergeCell ref="E13:F13"/>
    <mergeCell ref="E69:F69"/>
    <mergeCell ref="B1:F1"/>
    <mergeCell ref="E40:F40"/>
    <mergeCell ref="E9:F9"/>
    <mergeCell ref="E31:F31"/>
    <mergeCell ref="E65:F65"/>
    <mergeCell ref="E59:F59"/>
    <mergeCell ref="E30:F30"/>
    <mergeCell ref="E15:F15"/>
    <mergeCell ref="E58:F58"/>
    <mergeCell ref="E11:F11"/>
    <mergeCell ref="E50:G50"/>
    <mergeCell ref="E36:F36"/>
    <mergeCell ref="E70:F70"/>
    <mergeCell ref="B74:F74"/>
    <mergeCell ref="E57:F57"/>
    <mergeCell ref="E16:F16"/>
    <mergeCell ref="E52:G52"/>
    <mergeCell ref="E7:F7"/>
    <mergeCell ref="E25:F25"/>
    <mergeCell ref="B33:F33"/>
    <mergeCell ref="E41:F41"/>
    <mergeCell ref="E72:F72"/>
    <mergeCell ref="B5:F5"/>
    <mergeCell ref="E48:G48"/>
    <mergeCell ref="E37:F37"/>
    <mergeCell ref="E22:F22"/>
    <mergeCell ref="E66:F66"/>
    <mergeCell ref="E56:F56"/>
    <mergeCell ref="E51:G51"/>
    <mergeCell ref="E21:F21"/>
  </mergeCells>
  <pageMargins left="0.75" right="0.75" top="1" bottom="1" header="0.5" footer="0.5"/>
</worksheet>
</file>

<file path=xl/worksheets/sheet12.xml><?xml version="1.0" encoding="utf-8"?>
<worksheet xmlns="http://schemas.openxmlformats.org/spreadsheetml/2006/main">
  <sheetPr>
    <tabColor rgb="00FFCC99"/>
    <outlinePr summaryBelow="1" summaryRight="1"/>
    <pageSetUpPr/>
  </sheetPr>
  <dimension ref="B1:I42"/>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44" customWidth="1" min="2" max="2"/>
    <col width="15" customWidth="1" min="3" max="3"/>
    <col width="15" customWidth="1" min="4" max="4"/>
    <col width="15" customWidth="1" min="5" max="5"/>
    <col width="15" customWidth="1" min="6" max="6"/>
    <col width="15" customWidth="1" min="7" max="7"/>
    <col width="15" customWidth="1" min="8" max="8"/>
  </cols>
  <sheetData>
    <row r="1" ht="30" customHeight="1">
      <c r="B1" s="25" t="inlineStr">
        <is>
          <t>تحليل الحساسية — أثر تقلّبات الأسعار والمبيعات على صافي القيمة الحالية</t>
        </is>
      </c>
      <c r="C1" s="2" t="n"/>
      <c r="D1" s="2" t="n"/>
      <c r="E1" s="2" t="n"/>
      <c r="F1" s="2" t="n"/>
      <c r="G1" s="2" t="n"/>
      <c r="H1" s="2" t="n"/>
    </row>
    <row r="2">
      <c r="B2" s="26" t="inlineStr">
        <is>
          <t>حساسية خطية دقيقة من الدرجة الأولى: الأثر = ±النسبة × القيمة الأساسية × (1 − الضريبة) × معامل الخصم التراكمي. النتائج الكاملة لكل سيناريو في ورقة «السيناريوهات».</t>
        </is>
      </c>
    </row>
    <row r="5" ht="21" customHeight="1">
      <c r="B5" s="27" t="inlineStr">
        <is>
          <t>أولاً: معاملات التحويل (مضاعفات القيمة الحالية)</t>
        </is>
      </c>
      <c r="C5" s="28" t="n"/>
      <c r="D5" s="28" t="n"/>
      <c r="E5" s="28" t="n"/>
      <c r="F5" s="28" t="n"/>
      <c r="G5" s="28" t="n"/>
      <c r="H5" s="28" t="n"/>
    </row>
    <row r="6" ht="18" customHeight="1">
      <c r="B6" s="38" t="inlineStr">
        <is>
          <t>المعامل</t>
        </is>
      </c>
      <c r="C6" s="38" t="inlineStr">
        <is>
          <t>القيمة</t>
        </is>
      </c>
      <c r="D6" s="38" t="inlineStr">
        <is>
          <t>الوحدة</t>
        </is>
      </c>
      <c r="E6" s="38" t="inlineStr">
        <is>
          <t>المعادلة</t>
        </is>
      </c>
      <c r="F6" s="38" t="inlineStr"/>
      <c r="G6" s="38" t="inlineStr"/>
    </row>
    <row r="7">
      <c r="B7" s="22" t="inlineStr">
        <is>
          <t>نسبة (1+تضخم البيع) ÷ (1+معدل الخصم)</t>
        </is>
      </c>
      <c r="C7" s="53">
        <f>(1+'الافتراضات'!$F$21)/(1+'الافتراضات'!$F$28)</f>
        <v/>
      </c>
      <c r="D7" s="31" t="inlineStr">
        <is>
          <t>x</t>
        </is>
      </c>
      <c r="E7" s="32" t="inlineStr"/>
    </row>
    <row r="8">
      <c r="B8" s="22" t="inlineStr">
        <is>
          <t>نسبة (1+تضخم التكاليف) ÷ (1+معدل الخصم)</t>
        </is>
      </c>
      <c r="C8" s="53">
        <f>(1+'الافتراضات'!$F$22)/(1+'الافتراضات'!$F$28)</f>
        <v/>
      </c>
      <c r="D8" s="31" t="inlineStr">
        <is>
          <t>x</t>
        </is>
      </c>
      <c r="E8" s="32" t="inlineStr"/>
    </row>
    <row r="9">
      <c r="B9" s="34" t="inlineStr">
        <is>
          <t>معامل تراكم الإيراد (M_p)</t>
        </is>
      </c>
      <c r="C9" s="41">
        <f>IFERROR((1/(1+'الافتراضات'!$F$28))*(1-C7^10)/(1-C7),10)</f>
        <v/>
      </c>
      <c r="D9" s="31" t="inlineStr">
        <is>
          <t>x</t>
        </is>
      </c>
      <c r="E9" s="32" t="inlineStr">
        <is>
          <t>مجموع معاملات الخصم 10 سنوات</t>
        </is>
      </c>
    </row>
    <row r="10">
      <c r="B10" s="34" t="inlineStr">
        <is>
          <t>معامل تراكم التكاليف (M_c)</t>
        </is>
      </c>
      <c r="C10" s="41">
        <f>IFERROR((1/(1+'الافتراضات'!$F$28))*(1-C8^10)/(1-C8),10)</f>
        <v/>
      </c>
      <c r="D10" s="31" t="inlineStr">
        <is>
          <t>x</t>
        </is>
      </c>
      <c r="E10" s="32" t="inlineStr"/>
    </row>
    <row r="11">
      <c r="B11" s="22" t="inlineStr">
        <is>
          <t>أثر الضريبة</t>
        </is>
      </c>
      <c r="C11" s="53">
        <f>1-'الافتراضات'!$C$11</f>
        <v/>
      </c>
      <c r="D11" s="31" t="inlineStr">
        <is>
          <t>x</t>
        </is>
      </c>
      <c r="E11" s="32" t="inlineStr">
        <is>
          <t>التكلفة/الإيراد بعد الضريبة</t>
        </is>
      </c>
    </row>
    <row r="13" ht="21" customHeight="1">
      <c r="B13" s="27" t="inlineStr">
        <is>
          <t>ثانياً: حساسية NPV لمحرك واحد (خط الأساس سنة 1)</t>
        </is>
      </c>
      <c r="C13" s="28" t="n"/>
      <c r="D13" s="28" t="n"/>
      <c r="E13" s="28" t="n"/>
      <c r="F13" s="28" t="n"/>
      <c r="G13" s="28" t="n"/>
      <c r="H13" s="28" t="n"/>
    </row>
    <row r="14">
      <c r="B14" s="72" t="inlineStr">
        <is>
          <t>المحرك</t>
        </is>
      </c>
      <c r="C14" s="72" t="inlineStr">
        <is>
          <t>القيمة الأساسية (ج.م/سنة)</t>
        </is>
      </c>
      <c r="D14" s="72" t="inlineStr">
        <is>
          <t>النوع</t>
        </is>
      </c>
      <c r="E14" s="72" t="inlineStr">
        <is>
          <t>NPV @ −20%</t>
        </is>
      </c>
      <c r="F14" s="72" t="inlineStr">
        <is>
          <t>NPV @ −10%</t>
        </is>
      </c>
      <c r="G14" s="72" t="inlineStr">
        <is>
          <t>NPV @ +10%</t>
        </is>
      </c>
      <c r="H14" s="72" t="inlineStr">
        <is>
          <t>NPV @ +20%</t>
        </is>
      </c>
    </row>
    <row r="15">
      <c r="B15" s="22" t="inlineStr">
        <is>
          <t>سعر بيع الأرز الأبيض</t>
        </is>
      </c>
      <c r="C15" s="50">
        <f>'الإيرادات'!$C$16*12</f>
        <v/>
      </c>
      <c r="D15" s="11">
        <f>'المؤشرات'!$C$21+1*(-0.2)*C15*'الحساسية'!$C$11*'الحساسية'!$C$9</f>
        <v/>
      </c>
      <c r="E15" s="11">
        <f>'المؤشرات'!$C$21+1*(-0.1)*C15*'الحساسية'!$C$11*'الحساسية'!$C$9</f>
        <v/>
      </c>
      <c r="F15" s="10">
        <f>'المؤشرات'!$C$21+1*(0.1)*C15*'الحساسية'!$C$11*'الحساسية'!$C$9</f>
        <v/>
      </c>
      <c r="G15" s="10">
        <f>'المؤشرات'!$C$21+1*(0.2)*C15*'الحساسية'!$C$11*'الحساسية'!$C$9</f>
        <v/>
      </c>
    </row>
    <row r="16">
      <c r="B16" s="22" t="inlineStr">
        <is>
          <t>سعر بيع العلف الجاهز</t>
        </is>
      </c>
      <c r="C16" s="50">
        <f>'الإيرادات'!$C$17*12</f>
        <v/>
      </c>
      <c r="D16" s="11">
        <f>'المؤشرات'!$C$21+1*(-0.2)*C16*'الحساسية'!$C$11*'الحساسية'!$C$9</f>
        <v/>
      </c>
      <c r="E16" s="11">
        <f>'المؤشرات'!$C$21+1*(-0.1)*C16*'الحساسية'!$C$11*'الحساسية'!$C$9</f>
        <v/>
      </c>
      <c r="F16" s="10">
        <f>'المؤشرات'!$C$21+1*(0.1)*C16*'الحساسية'!$C$11*'الحساسية'!$C$9</f>
        <v/>
      </c>
      <c r="G16" s="10">
        <f>'المؤشرات'!$C$21+1*(0.2)*C16*'الحساسية'!$C$11*'الحساسية'!$C$9</f>
        <v/>
      </c>
    </row>
    <row r="17">
      <c r="B17" s="22" t="inlineStr">
        <is>
          <t>سعر شراء الشعير العريض</t>
        </is>
      </c>
      <c r="C17" s="50">
        <f>'OPEX'!$C$16*12</f>
        <v/>
      </c>
      <c r="D17" s="11">
        <f>'المؤشرات'!$C$21+-1*(-0.2)*C17*'الحساسية'!$C$11*'الحساسية'!$C$10</f>
        <v/>
      </c>
      <c r="E17" s="11">
        <f>'المؤشرات'!$C$21+-1*(-0.1)*C17*'الحساسية'!$C$11*'الحساسية'!$C$10</f>
        <v/>
      </c>
      <c r="F17" s="10">
        <f>'المؤشرات'!$C$21+-1*(0.1)*C17*'الحساسية'!$C$11*'الحساسية'!$C$10</f>
        <v/>
      </c>
      <c r="G17" s="10">
        <f>'المؤشرات'!$C$21+-1*(0.2)*C17*'الحساسية'!$C$11*'الحساسية'!$C$10</f>
        <v/>
      </c>
    </row>
    <row r="18">
      <c r="B18" s="22" t="inlineStr">
        <is>
          <t>أسعار مكونات العلف (ذرة/صويا)</t>
        </is>
      </c>
      <c r="C18" s="50">
        <f>'OPEX'!$C$19*12</f>
        <v/>
      </c>
      <c r="D18" s="11">
        <f>'المؤشرات'!$C$21+-1*(-0.2)*C18*'الحساسية'!$C$11*'الحساسية'!$C$10</f>
        <v/>
      </c>
      <c r="E18" s="11">
        <f>'المؤشرات'!$C$21+-1*(-0.1)*C18*'الحساسية'!$C$11*'الحساسية'!$C$10</f>
        <v/>
      </c>
      <c r="F18" s="10">
        <f>'المؤشرات'!$C$21+-1*(0.1)*C18*'الحساسية'!$C$11*'الحساسية'!$C$10</f>
        <v/>
      </c>
      <c r="G18" s="10">
        <f>'المؤشرات'!$C$21+-1*(0.2)*C18*'الحساسية'!$C$11*'الحساسية'!$C$10</f>
        <v/>
      </c>
    </row>
    <row r="19">
      <c r="B19" s="22" t="inlineStr">
        <is>
          <t>التكاليف الثابتة</t>
        </is>
      </c>
      <c r="C19" s="50">
        <f>'الافتراضات'!$C$104*12</f>
        <v/>
      </c>
      <c r="D19" s="11">
        <f>'المؤشرات'!$C$21+-1*(-0.2)*C19*'الحساسية'!$C$11*'الحساسية'!$C$10</f>
        <v/>
      </c>
      <c r="E19" s="11">
        <f>'المؤشرات'!$C$21+-1*(-0.1)*C19*'الحساسية'!$C$11*'الحساسية'!$C$10</f>
        <v/>
      </c>
      <c r="F19" s="10">
        <f>'المؤشرات'!$C$21+-1*(0.1)*C19*'الحساسية'!$C$11*'الحساسية'!$C$10</f>
        <v/>
      </c>
      <c r="G19" s="10">
        <f>'المؤشرات'!$C$21+-1*(0.2)*C19*'الحساسية'!$C$11*'الحساسية'!$C$10</f>
        <v/>
      </c>
    </row>
    <row r="20">
      <c r="B20" s="22" t="inlineStr">
        <is>
          <t>حجم المبيعات (هامش المساهمة)</t>
        </is>
      </c>
      <c r="C20" s="50">
        <f>'المؤشرات'!$C$57</f>
        <v/>
      </c>
      <c r="D20" s="11">
        <f>'المؤشرات'!$C$21+1*(-0.2)*C20*'الحساسية'!$C$11*'الحساسية'!$C$9</f>
        <v/>
      </c>
      <c r="E20" s="11">
        <f>'المؤشرات'!$C$21+1*(-0.1)*C20*'الحساسية'!$C$11*'الحساسية'!$C$9</f>
        <v/>
      </c>
      <c r="F20" s="10">
        <f>'المؤشرات'!$C$21+1*(0.1)*C20*'الحساسية'!$C$11*'الحساسية'!$C$9</f>
        <v/>
      </c>
      <c r="G20" s="10">
        <f>'المؤشرات'!$C$21+1*(0.2)*C20*'الحساسية'!$C$11*'الحساسية'!$C$9</f>
        <v/>
      </c>
    </row>
    <row r="22" ht="21" customHeight="1">
      <c r="B22" s="27" t="inlineStr">
        <is>
          <t>ثالثاً: ترتيب المخاطر (Tornado) — أثر ±10% على NPV</t>
        </is>
      </c>
      <c r="C22" s="28" t="n"/>
      <c r="D22" s="28" t="n"/>
      <c r="E22" s="28" t="n"/>
      <c r="F22" s="28" t="n"/>
      <c r="G22" s="28" t="n"/>
      <c r="H22" s="28" t="n"/>
    </row>
    <row r="23" ht="18" customHeight="1">
      <c r="B23" s="38" t="inlineStr">
        <is>
          <t>المحرك</t>
        </is>
      </c>
      <c r="C23" s="38" t="inlineStr">
        <is>
          <t>أثر −10%</t>
        </is>
      </c>
      <c r="D23" s="38" t="inlineStr">
        <is>
          <t>أثر +10%</t>
        </is>
      </c>
      <c r="E23" s="38" t="inlineStr">
        <is>
          <t>المدى الكلي (أهمية)</t>
        </is>
      </c>
      <c r="F23" s="38" t="inlineStr">
        <is>
          <t>الترتيب</t>
        </is>
      </c>
      <c r="G23" s="38" t="inlineStr"/>
    </row>
    <row r="24">
      <c r="B24" s="57" t="inlineStr">
        <is>
          <t>سعر بيع الأرز الأبيض</t>
        </is>
      </c>
      <c r="C24" s="50">
        <f>1*(-0.1)*C15*'الحساسية'!$C$11*'الحساسية'!$C$9</f>
        <v/>
      </c>
      <c r="D24" s="50">
        <f>1*(0.1)*C15*'الحساسية'!$C$11*'الحساسية'!$C$9</f>
        <v/>
      </c>
      <c r="E24" s="11">
        <f>ABS(D24-C24)</f>
        <v/>
      </c>
      <c r="F24" s="73">
        <f>RANK(E24,$E$24:$E$29)</f>
        <v/>
      </c>
    </row>
    <row r="25">
      <c r="B25" s="57" t="inlineStr">
        <is>
          <t>سعر بيع العلف الجاهز</t>
        </is>
      </c>
      <c r="C25" s="50">
        <f>1*(-0.1)*C16*'الحساسية'!$C$11*'الحساسية'!$C$9</f>
        <v/>
      </c>
      <c r="D25" s="50">
        <f>1*(0.1)*C16*'الحساسية'!$C$11*'الحساسية'!$C$9</f>
        <v/>
      </c>
      <c r="E25" s="11">
        <f>ABS(D25-C25)</f>
        <v/>
      </c>
      <c r="F25" s="73">
        <f>RANK(E25,$E$24:$E$29)</f>
        <v/>
      </c>
    </row>
    <row r="26">
      <c r="B26" s="57" t="inlineStr">
        <is>
          <t>سعر شراء الشعير العريض</t>
        </is>
      </c>
      <c r="C26" s="50">
        <f>-1*(-0.1)*C17*'الحساسية'!$C$11*'الحساسية'!$C$10</f>
        <v/>
      </c>
      <c r="D26" s="50">
        <f>-1*(0.1)*C17*'الحساسية'!$C$11*'الحساسية'!$C$10</f>
        <v/>
      </c>
      <c r="E26" s="11">
        <f>ABS(D26-C26)</f>
        <v/>
      </c>
      <c r="F26" s="73">
        <f>RANK(E26,$E$24:$E$29)</f>
        <v/>
      </c>
    </row>
    <row r="27">
      <c r="B27" s="57" t="inlineStr">
        <is>
          <t>أسعار مكونات العلف (ذرة/صويا)</t>
        </is>
      </c>
      <c r="C27" s="50">
        <f>-1*(-0.1)*C18*'الحساسية'!$C$11*'الحساسية'!$C$10</f>
        <v/>
      </c>
      <c r="D27" s="50">
        <f>-1*(0.1)*C18*'الحساسية'!$C$11*'الحساسية'!$C$10</f>
        <v/>
      </c>
      <c r="E27" s="11">
        <f>ABS(D27-C27)</f>
        <v/>
      </c>
      <c r="F27" s="73">
        <f>RANK(E27,$E$24:$E$29)</f>
        <v/>
      </c>
    </row>
    <row r="28">
      <c r="B28" s="57" t="inlineStr">
        <is>
          <t>التكاليف الثابتة</t>
        </is>
      </c>
      <c r="C28" s="50">
        <f>-1*(-0.1)*C19*'الحساسية'!$C$11*'الحساسية'!$C$10</f>
        <v/>
      </c>
      <c r="D28" s="50">
        <f>-1*(0.1)*C19*'الحساسية'!$C$11*'الحساسية'!$C$10</f>
        <v/>
      </c>
      <c r="E28" s="11">
        <f>ABS(D28-C28)</f>
        <v/>
      </c>
      <c r="F28" s="73">
        <f>RANK(E28,$E$24:$E$29)</f>
        <v/>
      </c>
    </row>
    <row r="29">
      <c r="B29" s="57" t="inlineStr">
        <is>
          <t>حجم المبيعات (هامش المساهمة)</t>
        </is>
      </c>
      <c r="C29" s="50">
        <f>1*(-0.1)*C20*'الحساسية'!$C$11*'الحساسية'!$C$9</f>
        <v/>
      </c>
      <c r="D29" s="50">
        <f>1*(0.1)*C20*'الحساسية'!$C$11*'الحساسية'!$C$9</f>
        <v/>
      </c>
      <c r="E29" s="11">
        <f>ABS(D29-C29)</f>
        <v/>
      </c>
      <c r="F29" s="73">
        <f>RANK(E29,$E$24:$E$29)</f>
        <v/>
      </c>
    </row>
    <row r="32" ht="21" customHeight="1">
      <c r="B32" s="27" t="inlineStr">
        <is>
          <t>رابعاً: جدول ثنائي — NPV حسب سعر الشعير × سعر الأرز</t>
        </is>
      </c>
      <c r="C32" s="28" t="n"/>
      <c r="D32" s="28" t="n"/>
      <c r="E32" s="28" t="n"/>
      <c r="F32" s="28" t="n"/>
      <c r="G32" s="28" t="n"/>
      <c r="H32" s="28" t="n"/>
    </row>
    <row r="33">
      <c r="B33" s="74" t="inlineStr">
        <is>
          <t>سعر الأرز ← / سعر الشعير ↓</t>
        </is>
      </c>
      <c r="C33" s="75" t="n">
        <v>0.9</v>
      </c>
      <c r="D33" s="75" t="n">
        <v>0.92</v>
      </c>
      <c r="E33" s="75" t="n">
        <v>0.96</v>
      </c>
      <c r="F33" s="75" t="n">
        <v>1</v>
      </c>
      <c r="G33" s="75" t="n">
        <v>1.04</v>
      </c>
      <c r="H33" s="75" t="n">
        <v>1.08</v>
      </c>
      <c r="I33" s="75" t="n">
        <v>1.1</v>
      </c>
    </row>
    <row r="34">
      <c r="B34" s="75" t="n">
        <v>0.9</v>
      </c>
      <c r="C34" s="11">
        <f>'المؤشرات'!$C$21+(-0.1)*'OPEX'!$C$16*12*'الحساسية'!$C$11*'الحساسية'!$C$10+(-0.1)*'الإيرادات'!$C$16*12*'الحساسية'!$C$11*'الحساسية'!$C$9</f>
        <v/>
      </c>
      <c r="D34" s="11">
        <f>'المؤشرات'!$C$21+(-0.1)*'OPEX'!$C$16*12*'الحساسية'!$C$11*'الحساسية'!$C$10+(-0.08)*'الإيرادات'!$C$16*12*'الحساسية'!$C$11*'الحساسية'!$C$9</f>
        <v/>
      </c>
      <c r="E34" s="11">
        <f>'المؤشرات'!$C$21+(-0.1)*'OPEX'!$C$16*12*'الحساسية'!$C$11*'الحساسية'!$C$10+(-0.04)*'الإيرادات'!$C$16*12*'الحساسية'!$C$11*'الحساسية'!$C$9</f>
        <v/>
      </c>
      <c r="F34" s="11">
        <f>'المؤشرات'!$C$21+(-0.1)*'OPEX'!$C$16*12*'الحساسية'!$C$11*'الحساسية'!$C$10+(0.0)*'الإيرادات'!$C$16*12*'الحساسية'!$C$11*'الحساسية'!$C$9</f>
        <v/>
      </c>
      <c r="G34" s="11">
        <f>'المؤشرات'!$C$21+(-0.1)*'OPEX'!$C$16*12*'الحساسية'!$C$11*'الحساسية'!$C$10+(0.04)*'الإيرادات'!$C$16*12*'الحساسية'!$C$11*'الحساسية'!$C$9</f>
        <v/>
      </c>
      <c r="H34" s="11">
        <f>'المؤشرات'!$C$21+(-0.1)*'OPEX'!$C$16*12*'الحساسية'!$C$11*'الحساسية'!$C$10+(0.08)*'الإيرادات'!$C$16*12*'الحساسية'!$C$11*'الحساسية'!$C$9</f>
        <v/>
      </c>
      <c r="I34" s="11">
        <f>'المؤشرات'!$C$21+(-0.1)*'OPEX'!$C$16*12*'الحساسية'!$C$11*'الحساسية'!$C$10+(0.1)*'الإيرادات'!$C$16*12*'الحساسية'!$C$11*'الحساسية'!$C$9</f>
        <v/>
      </c>
    </row>
    <row r="35">
      <c r="B35" s="75" t="n">
        <v>0.92</v>
      </c>
      <c r="C35" s="11">
        <f>'المؤشرات'!$C$21+(-0.08)*'OPEX'!$C$16*12*'الحساسية'!$C$11*'الحساسية'!$C$10+(-0.1)*'الإيرادات'!$C$16*12*'الحساسية'!$C$11*'الحساسية'!$C$9</f>
        <v/>
      </c>
      <c r="D35" s="11">
        <f>'المؤشرات'!$C$21+(-0.08)*'OPEX'!$C$16*12*'الحساسية'!$C$11*'الحساسية'!$C$10+(-0.08)*'الإيرادات'!$C$16*12*'الحساسية'!$C$11*'الحساسية'!$C$9</f>
        <v/>
      </c>
      <c r="E35" s="11">
        <f>'المؤشرات'!$C$21+(-0.08)*'OPEX'!$C$16*12*'الحساسية'!$C$11*'الحساسية'!$C$10+(-0.04)*'الإيرادات'!$C$16*12*'الحساسية'!$C$11*'الحساسية'!$C$9</f>
        <v/>
      </c>
      <c r="F35" s="11">
        <f>'المؤشرات'!$C$21+(-0.08)*'OPEX'!$C$16*12*'الحساسية'!$C$11*'الحساسية'!$C$10+(0.0)*'الإيرادات'!$C$16*12*'الحساسية'!$C$11*'الحساسية'!$C$9</f>
        <v/>
      </c>
      <c r="G35" s="11">
        <f>'المؤشرات'!$C$21+(-0.08)*'OPEX'!$C$16*12*'الحساسية'!$C$11*'الحساسية'!$C$10+(0.04)*'الإيرادات'!$C$16*12*'الحساسية'!$C$11*'الحساسية'!$C$9</f>
        <v/>
      </c>
      <c r="H35" s="11">
        <f>'المؤشرات'!$C$21+(-0.08)*'OPEX'!$C$16*12*'الحساسية'!$C$11*'الحساسية'!$C$10+(0.08)*'الإيرادات'!$C$16*12*'الحساسية'!$C$11*'الحساسية'!$C$9</f>
        <v/>
      </c>
      <c r="I35" s="11">
        <f>'المؤشرات'!$C$21+(-0.08)*'OPEX'!$C$16*12*'الحساسية'!$C$11*'الحساسية'!$C$10+(0.1)*'الإيرادات'!$C$16*12*'الحساسية'!$C$11*'الحساسية'!$C$9</f>
        <v/>
      </c>
    </row>
    <row r="36">
      <c r="B36" s="75" t="n">
        <v>0.96</v>
      </c>
      <c r="C36" s="11">
        <f>'المؤشرات'!$C$21+(-0.04)*'OPEX'!$C$16*12*'الحساسية'!$C$11*'الحساسية'!$C$10+(-0.1)*'الإيرادات'!$C$16*12*'الحساسية'!$C$11*'الحساسية'!$C$9</f>
        <v/>
      </c>
      <c r="D36" s="11">
        <f>'المؤشرات'!$C$21+(-0.04)*'OPEX'!$C$16*12*'الحساسية'!$C$11*'الحساسية'!$C$10+(-0.08)*'الإيرادات'!$C$16*12*'الحساسية'!$C$11*'الحساسية'!$C$9</f>
        <v/>
      </c>
      <c r="E36" s="11">
        <f>'المؤشرات'!$C$21+(-0.04)*'OPEX'!$C$16*12*'الحساسية'!$C$11*'الحساسية'!$C$10+(-0.04)*'الإيرادات'!$C$16*12*'الحساسية'!$C$11*'الحساسية'!$C$9</f>
        <v/>
      </c>
      <c r="F36" s="11">
        <f>'المؤشرات'!$C$21+(-0.04)*'OPEX'!$C$16*12*'الحساسية'!$C$11*'الحساسية'!$C$10+(0.0)*'الإيرادات'!$C$16*12*'الحساسية'!$C$11*'الحساسية'!$C$9</f>
        <v/>
      </c>
      <c r="G36" s="11">
        <f>'المؤشرات'!$C$21+(-0.04)*'OPEX'!$C$16*12*'الحساسية'!$C$11*'الحساسية'!$C$10+(0.04)*'الإيرادات'!$C$16*12*'الحساسية'!$C$11*'الحساسية'!$C$9</f>
        <v/>
      </c>
      <c r="H36" s="11">
        <f>'المؤشرات'!$C$21+(-0.04)*'OPEX'!$C$16*12*'الحساسية'!$C$11*'الحساسية'!$C$10+(0.08)*'الإيرادات'!$C$16*12*'الحساسية'!$C$11*'الحساسية'!$C$9</f>
        <v/>
      </c>
      <c r="I36" s="11">
        <f>'المؤشرات'!$C$21+(-0.04)*'OPEX'!$C$16*12*'الحساسية'!$C$11*'الحساسية'!$C$10+(0.1)*'الإيرادات'!$C$16*12*'الحساسية'!$C$11*'الحساسية'!$C$9</f>
        <v/>
      </c>
    </row>
    <row r="37">
      <c r="B37" s="75" t="n">
        <v>1</v>
      </c>
      <c r="C37" s="11">
        <f>'المؤشرات'!$C$21+(0.0)*'OPEX'!$C$16*12*'الحساسية'!$C$11*'الحساسية'!$C$10+(-0.1)*'الإيرادات'!$C$16*12*'الحساسية'!$C$11*'الحساسية'!$C$9</f>
        <v/>
      </c>
      <c r="D37" s="11">
        <f>'المؤشرات'!$C$21+(0.0)*'OPEX'!$C$16*12*'الحساسية'!$C$11*'الحساسية'!$C$10+(-0.08)*'الإيرادات'!$C$16*12*'الحساسية'!$C$11*'الحساسية'!$C$9</f>
        <v/>
      </c>
      <c r="E37" s="11">
        <f>'المؤشرات'!$C$21+(0.0)*'OPEX'!$C$16*12*'الحساسية'!$C$11*'الحساسية'!$C$10+(-0.04)*'الإيرادات'!$C$16*12*'الحساسية'!$C$11*'الحساسية'!$C$9</f>
        <v/>
      </c>
      <c r="F37" s="11">
        <f>'المؤشرات'!$C$21+(0.0)*'OPEX'!$C$16*12*'الحساسية'!$C$11*'الحساسية'!$C$10+(0.0)*'الإيرادات'!$C$16*12*'الحساسية'!$C$11*'الحساسية'!$C$9</f>
        <v/>
      </c>
      <c r="G37" s="11">
        <f>'المؤشرات'!$C$21+(0.0)*'OPEX'!$C$16*12*'الحساسية'!$C$11*'الحساسية'!$C$10+(0.04)*'الإيرادات'!$C$16*12*'الحساسية'!$C$11*'الحساسية'!$C$9</f>
        <v/>
      </c>
      <c r="H37" s="11">
        <f>'المؤشرات'!$C$21+(0.0)*'OPEX'!$C$16*12*'الحساسية'!$C$11*'الحساسية'!$C$10+(0.08)*'الإيرادات'!$C$16*12*'الحساسية'!$C$11*'الحساسية'!$C$9</f>
        <v/>
      </c>
      <c r="I37" s="11">
        <f>'المؤشرات'!$C$21+(0.0)*'OPEX'!$C$16*12*'الحساسية'!$C$11*'الحساسية'!$C$10+(0.1)*'الإيرادات'!$C$16*12*'الحساسية'!$C$11*'الحساسية'!$C$9</f>
        <v/>
      </c>
    </row>
    <row r="38">
      <c r="B38" s="75" t="n">
        <v>1.04</v>
      </c>
      <c r="C38" s="11">
        <f>'المؤشرات'!$C$21+(0.04)*'OPEX'!$C$16*12*'الحساسية'!$C$11*'الحساسية'!$C$10+(-0.1)*'الإيرادات'!$C$16*12*'الحساسية'!$C$11*'الحساسية'!$C$9</f>
        <v/>
      </c>
      <c r="D38" s="11">
        <f>'المؤشرات'!$C$21+(0.04)*'OPEX'!$C$16*12*'الحساسية'!$C$11*'الحساسية'!$C$10+(-0.08)*'الإيرادات'!$C$16*12*'الحساسية'!$C$11*'الحساسية'!$C$9</f>
        <v/>
      </c>
      <c r="E38" s="11">
        <f>'المؤشرات'!$C$21+(0.04)*'OPEX'!$C$16*12*'الحساسية'!$C$11*'الحساسية'!$C$10+(-0.04)*'الإيرادات'!$C$16*12*'الحساسية'!$C$11*'الحساسية'!$C$9</f>
        <v/>
      </c>
      <c r="F38" s="11">
        <f>'المؤشرات'!$C$21+(0.04)*'OPEX'!$C$16*12*'الحساسية'!$C$11*'الحساسية'!$C$10+(0.0)*'الإيرادات'!$C$16*12*'الحساسية'!$C$11*'الحساسية'!$C$9</f>
        <v/>
      </c>
      <c r="G38" s="11">
        <f>'المؤشرات'!$C$21+(0.04)*'OPEX'!$C$16*12*'الحساسية'!$C$11*'الحساسية'!$C$10+(0.04)*'الإيرادات'!$C$16*12*'الحساسية'!$C$11*'الحساسية'!$C$9</f>
        <v/>
      </c>
      <c r="H38" s="11">
        <f>'المؤشرات'!$C$21+(0.04)*'OPEX'!$C$16*12*'الحساسية'!$C$11*'الحساسية'!$C$10+(0.08)*'الإيرادات'!$C$16*12*'الحساسية'!$C$11*'الحساسية'!$C$9</f>
        <v/>
      </c>
      <c r="I38" s="11">
        <f>'المؤشرات'!$C$21+(0.04)*'OPEX'!$C$16*12*'الحساسية'!$C$11*'الحساسية'!$C$10+(0.1)*'الإيرادات'!$C$16*12*'الحساسية'!$C$11*'الحساسية'!$C$9</f>
        <v/>
      </c>
    </row>
    <row r="39">
      <c r="B39" s="75" t="n">
        <v>1.08</v>
      </c>
      <c r="C39" s="11">
        <f>'المؤشرات'!$C$21+(0.08)*'OPEX'!$C$16*12*'الحساسية'!$C$11*'الحساسية'!$C$10+(-0.1)*'الإيرادات'!$C$16*12*'الحساسية'!$C$11*'الحساسية'!$C$9</f>
        <v/>
      </c>
      <c r="D39" s="11">
        <f>'المؤشرات'!$C$21+(0.08)*'OPEX'!$C$16*12*'الحساسية'!$C$11*'الحساسية'!$C$10+(-0.08)*'الإيرادات'!$C$16*12*'الحساسية'!$C$11*'الحساسية'!$C$9</f>
        <v/>
      </c>
      <c r="E39" s="11">
        <f>'المؤشرات'!$C$21+(0.08)*'OPEX'!$C$16*12*'الحساسية'!$C$11*'الحساسية'!$C$10+(-0.04)*'الإيرادات'!$C$16*12*'الحساسية'!$C$11*'الحساسية'!$C$9</f>
        <v/>
      </c>
      <c r="F39" s="11">
        <f>'المؤشرات'!$C$21+(0.08)*'OPEX'!$C$16*12*'الحساسية'!$C$11*'الحساسية'!$C$10+(0.0)*'الإيرادات'!$C$16*12*'الحساسية'!$C$11*'الحساسية'!$C$9</f>
        <v/>
      </c>
      <c r="G39" s="11">
        <f>'المؤشرات'!$C$21+(0.08)*'OPEX'!$C$16*12*'الحساسية'!$C$11*'الحساسية'!$C$10+(0.04)*'الإيرادات'!$C$16*12*'الحساسية'!$C$11*'الحساسية'!$C$9</f>
        <v/>
      </c>
      <c r="H39" s="11">
        <f>'المؤشرات'!$C$21+(0.08)*'OPEX'!$C$16*12*'الحساسية'!$C$11*'الحساسية'!$C$10+(0.08)*'الإيرادات'!$C$16*12*'الحساسية'!$C$11*'الحساسية'!$C$9</f>
        <v/>
      </c>
      <c r="I39" s="11">
        <f>'المؤشرات'!$C$21+(0.08)*'OPEX'!$C$16*12*'الحساسية'!$C$11*'الحساسية'!$C$10+(0.1)*'الإيرادات'!$C$16*12*'الحساسية'!$C$11*'الحساسية'!$C$9</f>
        <v/>
      </c>
    </row>
    <row r="40">
      <c r="B40" s="75" t="n">
        <v>1.1</v>
      </c>
      <c r="C40" s="11">
        <f>'المؤشرات'!$C$21+(0.1)*'OPEX'!$C$16*12*'الحساسية'!$C$11*'الحساسية'!$C$10+(-0.1)*'الإيرادات'!$C$16*12*'الحساسية'!$C$11*'الحساسية'!$C$9</f>
        <v/>
      </c>
      <c r="D40" s="11">
        <f>'المؤشرات'!$C$21+(0.1)*'OPEX'!$C$16*12*'الحساسية'!$C$11*'الحساسية'!$C$10+(-0.08)*'الإيرادات'!$C$16*12*'الحساسية'!$C$11*'الحساسية'!$C$9</f>
        <v/>
      </c>
      <c r="E40" s="11">
        <f>'المؤشرات'!$C$21+(0.1)*'OPEX'!$C$16*12*'الحساسية'!$C$11*'الحساسية'!$C$10+(-0.04)*'الإيرادات'!$C$16*12*'الحساسية'!$C$11*'الحساسية'!$C$9</f>
        <v/>
      </c>
      <c r="F40" s="11">
        <f>'المؤشرات'!$C$21+(0.1)*'OPEX'!$C$16*12*'الحساسية'!$C$11*'الحساسية'!$C$10+(0.0)*'الإيرادات'!$C$16*12*'الحساسية'!$C$11*'الحساسية'!$C$9</f>
        <v/>
      </c>
      <c r="G40" s="11">
        <f>'المؤشرات'!$C$21+(0.1)*'OPEX'!$C$16*12*'الحساسية'!$C$11*'الحساسية'!$C$10+(0.04)*'الإيرادات'!$C$16*12*'الحساسية'!$C$11*'الحساسية'!$C$9</f>
        <v/>
      </c>
      <c r="H40" s="11">
        <f>'المؤشرات'!$C$21+(0.1)*'OPEX'!$C$16*12*'الحساسية'!$C$11*'الحساسية'!$C$10+(0.08)*'الإيرادات'!$C$16*12*'الحساسية'!$C$11*'الحساسية'!$C$9</f>
        <v/>
      </c>
      <c r="I40" s="11">
        <f>'المؤشرات'!$C$21+(0.1)*'OPEX'!$C$16*12*'الحساسية'!$C$11*'الحساسية'!$C$10+(0.1)*'الإيرادات'!$C$16*12*'الحساسية'!$C$11*'الحساسية'!$C$9</f>
        <v/>
      </c>
    </row>
    <row r="42" ht="26" customHeight="1">
      <c r="B42" s="49" t="inlineStr">
        <is>
          <t>قراءة الجدول: الصفوف = تغيّر سعر شراء الشعير، الأعمدة = تغيّر سعر بيع الأرز. الخلية الحرجة هي الربع (شعير +10% مع أرز −10%) وتحوّل المشروع إلى خسارة صافية.</t>
        </is>
      </c>
    </row>
  </sheetData>
  <mergeCells count="12">
    <mergeCell ref="B22:H22"/>
    <mergeCell ref="B32:H32"/>
    <mergeCell ref="E9:H9"/>
    <mergeCell ref="E8:H8"/>
    <mergeCell ref="B1:H1"/>
    <mergeCell ref="B13:H13"/>
    <mergeCell ref="B2:H2"/>
    <mergeCell ref="E7:H7"/>
    <mergeCell ref="B42:H42"/>
    <mergeCell ref="E11:H11"/>
    <mergeCell ref="B5:H5"/>
    <mergeCell ref="E10:H10"/>
  </mergeCells>
  <pageMargins left="0.75" right="0.75" top="1" bottom="1" header="0.5" footer="0.5"/>
</worksheet>
</file>

<file path=xl/worksheets/sheet13.xml><?xml version="1.0" encoding="utf-8"?>
<worksheet xmlns="http://schemas.openxmlformats.org/spreadsheetml/2006/main">
  <sheetPr>
    <tabColor rgb="00FF9999"/>
    <outlinePr summaryBelow="1" summaryRight="1"/>
    <pageSetUpPr/>
  </sheetPr>
  <dimension ref="B1:M82"/>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48"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ht="30" customHeight="1">
      <c r="B1" s="25" t="inlineStr">
        <is>
          <t>تحليل السيناريوهات — ثلاث حالات مُعاد حسابها بالكامل (10 سنوات لكل حالة)</t>
        </is>
      </c>
      <c r="C1" s="2" t="n"/>
      <c r="D1" s="2" t="n"/>
      <c r="E1" s="2" t="n"/>
      <c r="F1" s="2" t="n"/>
      <c r="G1" s="2" t="n"/>
      <c r="H1" s="2" t="n"/>
      <c r="I1" s="2" t="n"/>
      <c r="J1" s="2" t="n"/>
      <c r="K1" s="2" t="n"/>
      <c r="L1" s="2" t="n"/>
      <c r="M1" s="2" t="n"/>
    </row>
    <row r="2">
      <c r="B2" s="26" t="inlineStr">
        <is>
          <t>كل سيناريو نموذج مستقل: إيراد، تكاليف، ضريبة، رأس مال عامل، تدفق حر، NPV و IRR. لا يعتمد على السيناريو النشط.</t>
        </is>
      </c>
    </row>
    <row r="5" ht="21" customHeight="1">
      <c r="B5" s="27" t="inlineStr">
        <is>
          <t>السيناريو المتحفظ (Pessimistic)</t>
        </is>
      </c>
      <c r="C5" s="28" t="n"/>
      <c r="D5" s="28" t="n"/>
      <c r="E5" s="28" t="n"/>
      <c r="F5" s="28" t="n"/>
      <c r="G5" s="28" t="n"/>
      <c r="H5" s="28" t="n"/>
      <c r="I5" s="28" t="n"/>
      <c r="J5" s="28" t="n"/>
      <c r="K5" s="28" t="n"/>
      <c r="L5" s="28" t="n"/>
      <c r="M5" s="28" t="n"/>
    </row>
    <row r="6">
      <c r="B6" s="34" t="inlineStr">
        <is>
          <t>السنة</t>
        </is>
      </c>
      <c r="C6" s="68" t="n">
        <v>0</v>
      </c>
      <c r="D6" s="68" t="n">
        <v>1</v>
      </c>
      <c r="E6" s="68" t="n">
        <v>2</v>
      </c>
      <c r="F6" s="68" t="n">
        <v>3</v>
      </c>
      <c r="G6" s="68" t="n">
        <v>4</v>
      </c>
      <c r="H6" s="68" t="n">
        <v>5</v>
      </c>
      <c r="I6" s="68" t="n">
        <v>6</v>
      </c>
      <c r="J6" s="68" t="n">
        <v>7</v>
      </c>
      <c r="K6" s="68" t="n">
        <v>8</v>
      </c>
      <c r="L6" s="68" t="n">
        <v>9</v>
      </c>
      <c r="M6" s="68" t="n">
        <v>10</v>
      </c>
    </row>
    <row r="7">
      <c r="B7" s="22" t="inlineStr">
        <is>
          <t>إيراد الأرز</t>
        </is>
      </c>
      <c r="C7" s="44" t="n">
        <v>0</v>
      </c>
      <c r="D7" s="44">
        <f>((('الافتراضات'!$C$9*الافتراضات!$C$27)*'الافتراضات'!$C$51)*'الافتراضات'!$C$33*الافتراضات!$C$25)*12*POWER((1+الافتراضات!$C$21),0)</f>
        <v/>
      </c>
      <c r="E7" s="44">
        <f>((('الافتراضات'!$C$9*الافتراضات!$C$27)*'الافتراضات'!$C$51)*'الافتراضات'!$C$33*الافتراضات!$C$25)*12*POWER((1+الافتراضات!$C$21),1)</f>
        <v/>
      </c>
      <c r="F7" s="44">
        <f>((('الافتراضات'!$C$9*الافتراضات!$C$27)*'الافتراضات'!$C$51)*'الافتراضات'!$C$33*الافتراضات!$C$25)*12*POWER((1+الافتراضات!$C$21),2)</f>
        <v/>
      </c>
      <c r="G7" s="44">
        <f>((('الافتراضات'!$C$9*الافتراضات!$C$27)*'الافتراضات'!$C$51)*'الافتراضات'!$C$33*الافتراضات!$C$25)*12*POWER((1+الافتراضات!$C$21),3)</f>
        <v/>
      </c>
      <c r="H7" s="44">
        <f>((('الافتراضات'!$C$9*الافتراضات!$C$27)*'الافتراضات'!$C$51)*'الافتراضات'!$C$33*الافتراضات!$C$25)*12*POWER((1+الافتراضات!$C$21),4)</f>
        <v/>
      </c>
      <c r="I7" s="44">
        <f>((('الافتراضات'!$C$9*الافتراضات!$C$27)*'الافتراضات'!$C$51)*'الافتراضات'!$C$33*الافتراضات!$C$25)*12*POWER((1+الافتراضات!$C$21),5)</f>
        <v/>
      </c>
      <c r="J7" s="44">
        <f>((('الافتراضات'!$C$9*الافتراضات!$C$27)*'الافتراضات'!$C$51)*'الافتراضات'!$C$33*الافتراضات!$C$25)*12*POWER((1+الافتراضات!$C$21),6)</f>
        <v/>
      </c>
      <c r="K7" s="44">
        <f>((('الافتراضات'!$C$9*الافتراضات!$C$27)*'الافتراضات'!$C$51)*'الافتراضات'!$C$33*الافتراضات!$C$25)*12*POWER((1+الافتراضات!$C$21),7)</f>
        <v/>
      </c>
      <c r="L7" s="44">
        <f>((('الافتراضات'!$C$9*الافتراضات!$C$27)*'الافتراضات'!$C$51)*'الافتراضات'!$C$33*الافتراضات!$C$25)*12*POWER((1+الافتراضات!$C$21),8)</f>
        <v/>
      </c>
      <c r="M7" s="44">
        <f>((('الافتراضات'!$C$9*الافتراضات!$C$27)*'الافتراضات'!$C$51)*'الافتراضات'!$C$33*الافتراضات!$C$25)*12*POWER((1+الافتراضات!$C$21),9)</f>
        <v/>
      </c>
    </row>
    <row r="8">
      <c r="B8" s="22" t="inlineStr">
        <is>
          <t>إيراد العلف</t>
        </is>
      </c>
      <c r="C8" s="44" t="n">
        <v>0</v>
      </c>
      <c r="D8" s="44">
        <f>((((('الافتراضات'!$C$9*الافتراضات!$C$27)*'الافتراضات'!$C$53)+(('الافتراضات'!$C$9*الافتراضات!$C$27)*'الافتراضات'!$C$52))/('الافتراضات'!$C$60+'الافتراضات'!$C$61))*'الافتراضات'!$C$34*الافتراضات!$C$26)*12*POWER((1+الافتراضات!$C$21),0)</f>
        <v/>
      </c>
      <c r="E8" s="44">
        <f>((((('الافتراضات'!$C$9*الافتراضات!$C$27)*'الافتراضات'!$C$53)+(('الافتراضات'!$C$9*الافتراضات!$C$27)*'الافتراضات'!$C$52))/('الافتراضات'!$C$60+'الافتراضات'!$C$61))*'الافتراضات'!$C$34*الافتراضات!$C$26)*12*POWER((1+الافتراضات!$C$21),1)</f>
        <v/>
      </c>
      <c r="F8" s="44">
        <f>((((('الافتراضات'!$C$9*الافتراضات!$C$27)*'الافتراضات'!$C$53)+(('الافتراضات'!$C$9*الافتراضات!$C$27)*'الافتراضات'!$C$52))/('الافتراضات'!$C$60+'الافتراضات'!$C$61))*'الافتراضات'!$C$34*الافتراضات!$C$26)*12*POWER((1+الافتراضات!$C$21),2)</f>
        <v/>
      </c>
      <c r="G8" s="44">
        <f>((((('الافتراضات'!$C$9*الافتراضات!$C$27)*'الافتراضات'!$C$53)+(('الافتراضات'!$C$9*الافتراضات!$C$27)*'الافتراضات'!$C$52))/('الافتراضات'!$C$60+'الافتراضات'!$C$61))*'الافتراضات'!$C$34*الافتراضات!$C$26)*12*POWER((1+الافتراضات!$C$21),3)</f>
        <v/>
      </c>
      <c r="H8" s="44">
        <f>((((('الافتراضات'!$C$9*الافتراضات!$C$27)*'الافتراضات'!$C$53)+(('الافتراضات'!$C$9*الافتراضات!$C$27)*'الافتراضات'!$C$52))/('الافتراضات'!$C$60+'الافتراضات'!$C$61))*'الافتراضات'!$C$34*الافتراضات!$C$26)*12*POWER((1+الافتراضات!$C$21),4)</f>
        <v/>
      </c>
      <c r="I8" s="44">
        <f>((((('الافتراضات'!$C$9*الافتراضات!$C$27)*'الافتراضات'!$C$53)+(('الافتراضات'!$C$9*الافتراضات!$C$27)*'الافتراضات'!$C$52))/('الافتراضات'!$C$60+'الافتراضات'!$C$61))*'الافتراضات'!$C$34*الافتراضات!$C$26)*12*POWER((1+الافتراضات!$C$21),5)</f>
        <v/>
      </c>
      <c r="J8" s="44">
        <f>((((('الافتراضات'!$C$9*الافتراضات!$C$27)*'الافتراضات'!$C$53)+(('الافتراضات'!$C$9*الافتراضات!$C$27)*'الافتراضات'!$C$52))/('الافتراضات'!$C$60+'الافتراضات'!$C$61))*'الافتراضات'!$C$34*الافتراضات!$C$26)*12*POWER((1+الافتراضات!$C$21),6)</f>
        <v/>
      </c>
      <c r="K8" s="44">
        <f>((((('الافتراضات'!$C$9*الافتراضات!$C$27)*'الافتراضات'!$C$53)+(('الافتراضات'!$C$9*الافتراضات!$C$27)*'الافتراضات'!$C$52))/('الافتراضات'!$C$60+'الافتراضات'!$C$61))*'الافتراضات'!$C$34*الافتراضات!$C$26)*12*POWER((1+الافتراضات!$C$21),7)</f>
        <v/>
      </c>
      <c r="L8" s="44">
        <f>((((('الافتراضات'!$C$9*الافتراضات!$C$27)*'الافتراضات'!$C$53)+(('الافتراضات'!$C$9*الافتراضات!$C$27)*'الافتراضات'!$C$52))/('الافتراضات'!$C$60+'الافتراضات'!$C$61))*'الافتراضات'!$C$34*الافتراضات!$C$26)*12*POWER((1+الافتراضات!$C$21),8)</f>
        <v/>
      </c>
      <c r="M8" s="44">
        <f>((((('الافتراضات'!$C$9*الافتراضات!$C$27)*'الافتراضات'!$C$53)+(('الافتراضات'!$C$9*الافتراضات!$C$27)*'الافتراضات'!$C$52))/('الافتراضات'!$C$60+'الافتراضات'!$C$61))*'الافتراضات'!$C$34*الافتراضات!$C$26)*12*POWER((1+الافتراضات!$C$21),9)</f>
        <v/>
      </c>
    </row>
    <row r="9">
      <c r="B9" s="22" t="inlineStr">
        <is>
          <t>قيمة السرس</t>
        </is>
      </c>
      <c r="C9" s="44" t="n">
        <v>0</v>
      </c>
      <c r="D9" s="44">
        <f>((('الافتراضات'!$C$9*الافتراضات!$C$27)*'الافتراضات'!$C$54)*'الافتراضات'!$C$35)*12*POWER((1+الافتراضات!$C$21),0)</f>
        <v/>
      </c>
      <c r="E9" s="44">
        <f>((('الافتراضات'!$C$9*الافتراضات!$C$27)*'الافتراضات'!$C$54)*'الافتراضات'!$C$35)*12*POWER((1+الافتراضات!$C$21),1)</f>
        <v/>
      </c>
      <c r="F9" s="44">
        <f>((('الافتراضات'!$C$9*الافتراضات!$C$27)*'الافتراضات'!$C$54)*'الافتراضات'!$C$35)*12*POWER((1+الافتراضات!$C$21),2)</f>
        <v/>
      </c>
      <c r="G9" s="44">
        <f>((('الافتراضات'!$C$9*الافتراضات!$C$27)*'الافتراضات'!$C$54)*'الافتراضات'!$C$35)*12*POWER((1+الافتراضات!$C$21),3)</f>
        <v/>
      </c>
      <c r="H9" s="44">
        <f>((('الافتراضات'!$C$9*الافتراضات!$C$27)*'الافتراضات'!$C$54)*'الافتراضات'!$C$35)*12*POWER((1+الافتراضات!$C$21),4)</f>
        <v/>
      </c>
      <c r="I9" s="44">
        <f>((('الافتراضات'!$C$9*الافتراضات!$C$27)*'الافتراضات'!$C$54)*'الافتراضات'!$C$35)*12*POWER((1+الافتراضات!$C$21),5)</f>
        <v/>
      </c>
      <c r="J9" s="44">
        <f>((('الافتراضات'!$C$9*الافتراضات!$C$27)*'الافتراضات'!$C$54)*'الافتراضات'!$C$35)*12*POWER((1+الافتراضات!$C$21),6)</f>
        <v/>
      </c>
      <c r="K9" s="44">
        <f>((('الافتراضات'!$C$9*الافتراضات!$C$27)*'الافتراضات'!$C$54)*'الافتراضات'!$C$35)*12*POWER((1+الافتراضات!$C$21),7)</f>
        <v/>
      </c>
      <c r="L9" s="44">
        <f>((('الافتراضات'!$C$9*الافتراضات!$C$27)*'الافتراضات'!$C$54)*'الافتراضات'!$C$35)*12*POWER((1+الافتراضات!$C$21),8)</f>
        <v/>
      </c>
      <c r="M9" s="44">
        <f>((('الافتراضات'!$C$9*الافتراضات!$C$27)*'الافتراضات'!$C$54)*'الافتراضات'!$C$35)*12*POWER((1+الافتراضات!$C$21),9)</f>
        <v/>
      </c>
    </row>
    <row r="10">
      <c r="B10" s="34" t="inlineStr">
        <is>
          <t>إجمالي الإيرادات</t>
        </is>
      </c>
      <c r="C10" s="35" t="n">
        <v>0</v>
      </c>
      <c r="D10" s="35">
        <f>SUM(D7:D9)</f>
        <v/>
      </c>
      <c r="E10" s="35">
        <f>SUM(E7:E9)</f>
        <v/>
      </c>
      <c r="F10" s="35">
        <f>SUM(F7:F9)</f>
        <v/>
      </c>
      <c r="G10" s="35">
        <f>SUM(G7:G9)</f>
        <v/>
      </c>
      <c r="H10" s="35">
        <f>SUM(H7:H9)</f>
        <v/>
      </c>
      <c r="I10" s="35">
        <f>SUM(I7:I9)</f>
        <v/>
      </c>
      <c r="J10" s="35">
        <f>SUM(J7:J9)</f>
        <v/>
      </c>
      <c r="K10" s="35">
        <f>SUM(K7:K9)</f>
        <v/>
      </c>
      <c r="L10" s="35">
        <f>SUM(L7:L9)</f>
        <v/>
      </c>
      <c r="M10" s="35">
        <f>SUM(M7:M9)</f>
        <v/>
      </c>
    </row>
    <row r="11">
      <c r="B11" s="22" t="inlineStr">
        <is>
          <t>إجمالي التكاليف المتغيرة</t>
        </is>
      </c>
      <c r="C11" s="44" t="n">
        <v>0</v>
      </c>
      <c r="D11" s="44">
        <f>(('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0)</f>
        <v/>
      </c>
      <c r="E11" s="44">
        <f>(('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1)</f>
        <v/>
      </c>
      <c r="F11" s="44">
        <f>(('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2)</f>
        <v/>
      </c>
      <c r="G11" s="44">
        <f>(('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3)</f>
        <v/>
      </c>
      <c r="H11" s="44">
        <f>(('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4)</f>
        <v/>
      </c>
      <c r="I11" s="44">
        <f>(('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5)</f>
        <v/>
      </c>
      <c r="J11" s="44">
        <f>(('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6)</f>
        <v/>
      </c>
      <c r="K11" s="44">
        <f>(('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7)</f>
        <v/>
      </c>
      <c r="L11" s="44">
        <f>(('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8)</f>
        <v/>
      </c>
      <c r="M11" s="44">
        <f>(('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9)</f>
        <v/>
      </c>
    </row>
    <row r="12">
      <c r="B12" s="22" t="inlineStr">
        <is>
          <t>التكاليف الثابتة</t>
        </is>
      </c>
      <c r="C12" s="44" t="n">
        <v>0</v>
      </c>
      <c r="D12" s="44">
        <f>'الافتراضات'!$C$104*12*POWER((1+الافتراضات!$C$23),0)</f>
        <v/>
      </c>
      <c r="E12" s="44">
        <f>'الافتراضات'!$C$104*12*POWER((1+الافتراضات!$C$23),1)</f>
        <v/>
      </c>
      <c r="F12" s="44">
        <f>'الافتراضات'!$C$104*12*POWER((1+الافتراضات!$C$23),2)</f>
        <v/>
      </c>
      <c r="G12" s="44">
        <f>'الافتراضات'!$C$104*12*POWER((1+الافتراضات!$C$23),3)</f>
        <v/>
      </c>
      <c r="H12" s="44">
        <f>'الافتراضات'!$C$104*12*POWER((1+الافتراضات!$C$23),4)</f>
        <v/>
      </c>
      <c r="I12" s="44">
        <f>'الافتراضات'!$C$104*12*POWER((1+الافتراضات!$C$23),5)</f>
        <v/>
      </c>
      <c r="J12" s="44">
        <f>'الافتراضات'!$C$104*12*POWER((1+الافتراضات!$C$23),6)</f>
        <v/>
      </c>
      <c r="K12" s="44">
        <f>'الافتراضات'!$C$104*12*POWER((1+الافتراضات!$C$23),7)</f>
        <v/>
      </c>
      <c r="L12" s="44">
        <f>'الافتراضات'!$C$104*12*POWER((1+الافتراضات!$C$23),8)</f>
        <v/>
      </c>
      <c r="M12" s="44">
        <f>'الافتراضات'!$C$104*12*POWER((1+الافتراضات!$C$23),9)</f>
        <v/>
      </c>
    </row>
    <row r="13">
      <c r="B13" s="34" t="inlineStr">
        <is>
          <t>EBITDA</t>
        </is>
      </c>
      <c r="C13" s="35" t="n">
        <v>0</v>
      </c>
      <c r="D13" s="35">
        <f>D10-D11-D12</f>
        <v/>
      </c>
      <c r="E13" s="35">
        <f>E10-E11-E12</f>
        <v/>
      </c>
      <c r="F13" s="35">
        <f>F10-F11-F12</f>
        <v/>
      </c>
      <c r="G13" s="35">
        <f>G10-G11-G12</f>
        <v/>
      </c>
      <c r="H13" s="35">
        <f>H10-H11-H12</f>
        <v/>
      </c>
      <c r="I13" s="35">
        <f>I10-I11-I12</f>
        <v/>
      </c>
      <c r="J13" s="35">
        <f>J10-J11-J12</f>
        <v/>
      </c>
      <c r="K13" s="35">
        <f>K10-K11-K12</f>
        <v/>
      </c>
      <c r="L13" s="35">
        <f>L10-L11-L12</f>
        <v/>
      </c>
      <c r="M13" s="35">
        <f>M10-M11-M12</f>
        <v/>
      </c>
    </row>
    <row r="14">
      <c r="B14" s="22" t="inlineStr">
        <is>
          <t>الاهتلاك والإطفاء</t>
        </is>
      </c>
      <c r="C14" s="44" t="n">
        <v>0</v>
      </c>
      <c r="D14" s="44">
        <f>'CAPEX'!$C$50</f>
        <v/>
      </c>
      <c r="E14" s="44">
        <f>'CAPEX'!$C$50</f>
        <v/>
      </c>
      <c r="F14" s="44">
        <f>'CAPEX'!$C$50</f>
        <v/>
      </c>
      <c r="G14" s="44">
        <f>'CAPEX'!$C$50</f>
        <v/>
      </c>
      <c r="H14" s="44">
        <f>'CAPEX'!$C$50</f>
        <v/>
      </c>
      <c r="I14" s="44">
        <f>'CAPEX'!$C$50</f>
        <v/>
      </c>
      <c r="J14" s="44">
        <f>'CAPEX'!$C$50</f>
        <v/>
      </c>
      <c r="K14" s="44">
        <f>'CAPEX'!$C$50</f>
        <v/>
      </c>
      <c r="L14" s="44">
        <f>'CAPEX'!$C$50</f>
        <v/>
      </c>
      <c r="M14" s="44">
        <f>'CAPEX'!$C$50</f>
        <v/>
      </c>
    </row>
    <row r="15">
      <c r="B15" s="22" t="inlineStr">
        <is>
          <t>صافي الربح بعد الضريبة</t>
        </is>
      </c>
      <c r="C15" s="44" t="n">
        <v>0</v>
      </c>
      <c r="D15" s="44">
        <f>D13-D14-MAX(0,D13-D14)*'الافتراضات'!$C$11</f>
        <v/>
      </c>
      <c r="E15" s="44">
        <f>E13-E14-MAX(0,E13-E14)*'الافتراضات'!$C$11</f>
        <v/>
      </c>
      <c r="F15" s="44">
        <f>F13-F14-MAX(0,F13-F14)*'الافتراضات'!$C$11</f>
        <v/>
      </c>
      <c r="G15" s="44">
        <f>G13-G14-MAX(0,G13-G14)*'الافتراضات'!$C$11</f>
        <v/>
      </c>
      <c r="H15" s="44">
        <f>H13-H14-MAX(0,H13-H14)*'الافتراضات'!$C$11</f>
        <v/>
      </c>
      <c r="I15" s="44">
        <f>I13-I14-MAX(0,I13-I14)*'الافتراضات'!$C$11</f>
        <v/>
      </c>
      <c r="J15" s="44">
        <f>J13-J14-MAX(0,J13-J14)*'الافتراضات'!$C$11</f>
        <v/>
      </c>
      <c r="K15" s="44">
        <f>K13-K14-MAX(0,K13-K14)*'الافتراضات'!$C$11</f>
        <v/>
      </c>
      <c r="L15" s="44">
        <f>L13-L14-MAX(0,L13-L14)*'الافتراضات'!$C$11</f>
        <v/>
      </c>
      <c r="M15" s="44">
        <f>M13-M14-MAX(0,M13-M14)*'الافتراضات'!$C$11</f>
        <v/>
      </c>
    </row>
    <row r="16">
      <c r="B16" s="22" t="inlineStr">
        <is>
          <t>الضريبة</t>
        </is>
      </c>
      <c r="C16" s="44" t="n">
        <v>0</v>
      </c>
      <c r="D16" s="44">
        <f>MAX(0,D13-D14)*'الافتراضات'!$C$11</f>
        <v/>
      </c>
      <c r="E16" s="44">
        <f>MAX(0,E13-E14)*'الافتراضات'!$C$11</f>
        <v/>
      </c>
      <c r="F16" s="44">
        <f>MAX(0,F13-F14)*'الافتراضات'!$C$11</f>
        <v/>
      </c>
      <c r="G16" s="44">
        <f>MAX(0,G13-G14)*'الافتراضات'!$C$11</f>
        <v/>
      </c>
      <c r="H16" s="44">
        <f>MAX(0,H13-H14)*'الافتراضات'!$C$11</f>
        <v/>
      </c>
      <c r="I16" s="44">
        <f>MAX(0,I13-I14)*'الافتراضات'!$C$11</f>
        <v/>
      </c>
      <c r="J16" s="44">
        <f>MAX(0,J13-J14)*'الافتراضات'!$C$11</f>
        <v/>
      </c>
      <c r="K16" s="44">
        <f>MAX(0,K13-K14)*'الافتراضات'!$C$11</f>
        <v/>
      </c>
      <c r="L16" s="44">
        <f>MAX(0,L13-L14)*'الافتراضات'!$C$11</f>
        <v/>
      </c>
      <c r="M16" s="44">
        <f>MAX(0,M13-M14)*'الافتراضات'!$C$11</f>
        <v/>
      </c>
    </row>
    <row r="17">
      <c r="B17" s="22" t="inlineStr">
        <is>
          <t>رصيد رأس المال العامل</t>
        </is>
      </c>
      <c r="C17" s="44" t="n">
        <v>0</v>
      </c>
      <c r="D17" s="44">
        <f>(('الافتراضات'!$C$74/365)*(('الافتراضات'!$C$9*الافتراضات!$C$27)*12)*'الافتراضات'!$C$32*الافتراضات!$C$24*POWER((1+الافتراضات!$C$22),1-1)+('الافتراضات'!$C$75/365)*(((('الافتراضات'!$C$9*الافتراضات!$C$27)*'الافتراضات'!$C$51)*'الافتراضات'!$C$33*الافتراضات!$C$25)*12)*POWER((1+الافتراضات!$C$21),1-1)+('الافتراضات'!$C$76/365)*(((((('الافتراضات'!$C$9*الافتراضات!$C$27)*'الافتراضات'!$C$53)+(('الافتراضات'!$C$9*الافتراضات!$C$27)*'الافتراضات'!$C$52))/('الافتراضات'!$C$60+'الافتراضات'!$C$61))*'الافتراضات'!$C$34*الافتراضات!$C$26)*12)*POWER((1+الافتراضات!$C$21),1-1)+('الافتراضات'!$C$73/365)*((((('الافتراضات'!$C$9*الافتراضات!$C$27)*'الافتراضات'!$C$51)*'الافتراضات'!$C$33*الافتراضات!$C$25)+((((('الافتراضات'!$C$9*الافتراضات!$C$27)*'الافتراضات'!$C$53)+(('الافتراضات'!$C$9*الافتراضات!$C$27)*'الافتراضات'!$C$52))/('الافتراضات'!$C$60+'الافتراضات'!$C$61))*'الافتراضات'!$C$34*الافتراضات!$C$26)+((('الافتراضات'!$C$9*الافتراضات!$C$27)*'الافتراضات'!$C$54)*'الافتراضات'!$C$35))*12)*POWER((1+الافتراضات!$C$21),1-1)*(1-'الافتراضات'!$C$72)-('الافتراضات'!$C$77/365)*((('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1-1)+'الافتراضات'!$C$78)</f>
        <v/>
      </c>
      <c r="E17" s="44">
        <f>(('الافتراضات'!$C$74/365)*(('الافتراضات'!$C$9*الافتراضات!$C$27)*12)*'الافتراضات'!$C$32*الافتراضات!$C$24*POWER((1+الافتراضات!$C$22),2-1)+('الافتراضات'!$C$75/365)*(((('الافتراضات'!$C$9*الافتراضات!$C$27)*'الافتراضات'!$C$51)*'الافتراضات'!$C$33*الافتراضات!$C$25)*12)*POWER((1+الافتراضات!$C$21),2-1)+('الافتراضات'!$C$76/365)*(((((('الافتراضات'!$C$9*الافتراضات!$C$27)*'الافتراضات'!$C$53)+(('الافتراضات'!$C$9*الافتراضات!$C$27)*'الافتراضات'!$C$52))/('الافتراضات'!$C$60+'الافتراضات'!$C$61))*'الافتراضات'!$C$34*الافتراضات!$C$26)*12)*POWER((1+الافتراضات!$C$21),2-1)+('الافتراضات'!$C$73/365)*((((('الافتراضات'!$C$9*الافتراضات!$C$27)*'الافتراضات'!$C$51)*'الافتراضات'!$C$33*الافتراضات!$C$25)+((((('الافتراضات'!$C$9*الافتراضات!$C$27)*'الافتراضات'!$C$53)+(('الافتراضات'!$C$9*الافتراضات!$C$27)*'الافتراضات'!$C$52))/('الافتراضات'!$C$60+'الافتراضات'!$C$61))*'الافتراضات'!$C$34*الافتراضات!$C$26)+((('الافتراضات'!$C$9*الافتراضات!$C$27)*'الافتراضات'!$C$54)*'الافتراضات'!$C$35))*12)*POWER((1+الافتراضات!$C$21),2-1)*(1-'الافتراضات'!$C$72)-('الافتراضات'!$C$77/365)*((('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2-1)+'الافتراضات'!$C$78)</f>
        <v/>
      </c>
      <c r="F17" s="44">
        <f>(('الافتراضات'!$C$74/365)*(('الافتراضات'!$C$9*الافتراضات!$C$27)*12)*'الافتراضات'!$C$32*الافتراضات!$C$24*POWER((1+الافتراضات!$C$22),3-1)+('الافتراضات'!$C$75/365)*(((('الافتراضات'!$C$9*الافتراضات!$C$27)*'الافتراضات'!$C$51)*'الافتراضات'!$C$33*الافتراضات!$C$25)*12)*POWER((1+الافتراضات!$C$21),3-1)+('الافتراضات'!$C$76/365)*(((((('الافتراضات'!$C$9*الافتراضات!$C$27)*'الافتراضات'!$C$53)+(('الافتراضات'!$C$9*الافتراضات!$C$27)*'الافتراضات'!$C$52))/('الافتراضات'!$C$60+'الافتراضات'!$C$61))*'الافتراضات'!$C$34*الافتراضات!$C$26)*12)*POWER((1+الافتراضات!$C$21),3-1)+('الافتراضات'!$C$73/365)*((((('الافتراضات'!$C$9*الافتراضات!$C$27)*'الافتراضات'!$C$51)*'الافتراضات'!$C$33*الافتراضات!$C$25)+((((('الافتراضات'!$C$9*الافتراضات!$C$27)*'الافتراضات'!$C$53)+(('الافتراضات'!$C$9*الافتراضات!$C$27)*'الافتراضات'!$C$52))/('الافتراضات'!$C$60+'الافتراضات'!$C$61))*'الافتراضات'!$C$34*الافتراضات!$C$26)+((('الافتراضات'!$C$9*الافتراضات!$C$27)*'الافتراضات'!$C$54)*'الافتراضات'!$C$35))*12)*POWER((1+الافتراضات!$C$21),3-1)*(1-'الافتراضات'!$C$72)-('الافتراضات'!$C$77/365)*((('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3-1)+'الافتراضات'!$C$78)</f>
        <v/>
      </c>
      <c r="G17" s="44">
        <f>(('الافتراضات'!$C$74/365)*(('الافتراضات'!$C$9*الافتراضات!$C$27)*12)*'الافتراضات'!$C$32*الافتراضات!$C$24*POWER((1+الافتراضات!$C$22),4-1)+('الافتراضات'!$C$75/365)*(((('الافتراضات'!$C$9*الافتراضات!$C$27)*'الافتراضات'!$C$51)*'الافتراضات'!$C$33*الافتراضات!$C$25)*12)*POWER((1+الافتراضات!$C$21),4-1)+('الافتراضات'!$C$76/365)*(((((('الافتراضات'!$C$9*الافتراضات!$C$27)*'الافتراضات'!$C$53)+(('الافتراضات'!$C$9*الافتراضات!$C$27)*'الافتراضات'!$C$52))/('الافتراضات'!$C$60+'الافتراضات'!$C$61))*'الافتراضات'!$C$34*الافتراضات!$C$26)*12)*POWER((1+الافتراضات!$C$21),4-1)+('الافتراضات'!$C$73/365)*((((('الافتراضات'!$C$9*الافتراضات!$C$27)*'الافتراضات'!$C$51)*'الافتراضات'!$C$33*الافتراضات!$C$25)+((((('الافتراضات'!$C$9*الافتراضات!$C$27)*'الافتراضات'!$C$53)+(('الافتراضات'!$C$9*الافتراضات!$C$27)*'الافتراضات'!$C$52))/('الافتراضات'!$C$60+'الافتراضات'!$C$61))*'الافتراضات'!$C$34*الافتراضات!$C$26)+((('الافتراضات'!$C$9*الافتراضات!$C$27)*'الافتراضات'!$C$54)*'الافتراضات'!$C$35))*12)*POWER((1+الافتراضات!$C$21),4-1)*(1-'الافتراضات'!$C$72)-('الافتراضات'!$C$77/365)*((('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4-1)+'الافتراضات'!$C$78)</f>
        <v/>
      </c>
      <c r="H17" s="44">
        <f>(('الافتراضات'!$C$74/365)*(('الافتراضات'!$C$9*الافتراضات!$C$27)*12)*'الافتراضات'!$C$32*الافتراضات!$C$24*POWER((1+الافتراضات!$C$22),5-1)+('الافتراضات'!$C$75/365)*(((('الافتراضات'!$C$9*الافتراضات!$C$27)*'الافتراضات'!$C$51)*'الافتراضات'!$C$33*الافتراضات!$C$25)*12)*POWER((1+الافتراضات!$C$21),5-1)+('الافتراضات'!$C$76/365)*(((((('الافتراضات'!$C$9*الافتراضات!$C$27)*'الافتراضات'!$C$53)+(('الافتراضات'!$C$9*الافتراضات!$C$27)*'الافتراضات'!$C$52))/('الافتراضات'!$C$60+'الافتراضات'!$C$61))*'الافتراضات'!$C$34*الافتراضات!$C$26)*12)*POWER((1+الافتراضات!$C$21),5-1)+('الافتراضات'!$C$73/365)*((((('الافتراضات'!$C$9*الافتراضات!$C$27)*'الافتراضات'!$C$51)*'الافتراضات'!$C$33*الافتراضات!$C$25)+((((('الافتراضات'!$C$9*الافتراضات!$C$27)*'الافتراضات'!$C$53)+(('الافتراضات'!$C$9*الافتراضات!$C$27)*'الافتراضات'!$C$52))/('الافتراضات'!$C$60+'الافتراضات'!$C$61))*'الافتراضات'!$C$34*الافتراضات!$C$26)+((('الافتراضات'!$C$9*الافتراضات!$C$27)*'الافتراضات'!$C$54)*'الافتراضات'!$C$35))*12)*POWER((1+الافتراضات!$C$21),5-1)*(1-'الافتراضات'!$C$72)-('الافتراضات'!$C$77/365)*((('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5-1)+'الافتراضات'!$C$78)</f>
        <v/>
      </c>
      <c r="I17" s="44">
        <f>(('الافتراضات'!$C$74/365)*(('الافتراضات'!$C$9*الافتراضات!$C$27)*12)*'الافتراضات'!$C$32*الافتراضات!$C$24*POWER((1+الافتراضات!$C$22),6-1)+('الافتراضات'!$C$75/365)*(((('الافتراضات'!$C$9*الافتراضات!$C$27)*'الافتراضات'!$C$51)*'الافتراضات'!$C$33*الافتراضات!$C$25)*12)*POWER((1+الافتراضات!$C$21),6-1)+('الافتراضات'!$C$76/365)*(((((('الافتراضات'!$C$9*الافتراضات!$C$27)*'الافتراضات'!$C$53)+(('الافتراضات'!$C$9*الافتراضات!$C$27)*'الافتراضات'!$C$52))/('الافتراضات'!$C$60+'الافتراضات'!$C$61))*'الافتراضات'!$C$34*الافتراضات!$C$26)*12)*POWER((1+الافتراضات!$C$21),6-1)+('الافتراضات'!$C$73/365)*((((('الافتراضات'!$C$9*الافتراضات!$C$27)*'الافتراضات'!$C$51)*'الافتراضات'!$C$33*الافتراضات!$C$25)+((((('الافتراضات'!$C$9*الافتراضات!$C$27)*'الافتراضات'!$C$53)+(('الافتراضات'!$C$9*الافتراضات!$C$27)*'الافتراضات'!$C$52))/('الافتراضات'!$C$60+'الافتراضات'!$C$61))*'الافتراضات'!$C$34*الافتراضات!$C$26)+((('الافتراضات'!$C$9*الافتراضات!$C$27)*'الافتراضات'!$C$54)*'الافتراضات'!$C$35))*12)*POWER((1+الافتراضات!$C$21),6-1)*(1-'الافتراضات'!$C$72)-('الافتراضات'!$C$77/365)*((('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6-1)+'الافتراضات'!$C$78)</f>
        <v/>
      </c>
      <c r="J17" s="44">
        <f>(('الافتراضات'!$C$74/365)*(('الافتراضات'!$C$9*الافتراضات!$C$27)*12)*'الافتراضات'!$C$32*الافتراضات!$C$24*POWER((1+الافتراضات!$C$22),7-1)+('الافتراضات'!$C$75/365)*(((('الافتراضات'!$C$9*الافتراضات!$C$27)*'الافتراضات'!$C$51)*'الافتراضات'!$C$33*الافتراضات!$C$25)*12)*POWER((1+الافتراضات!$C$21),7-1)+('الافتراضات'!$C$76/365)*(((((('الافتراضات'!$C$9*الافتراضات!$C$27)*'الافتراضات'!$C$53)+(('الافتراضات'!$C$9*الافتراضات!$C$27)*'الافتراضات'!$C$52))/('الافتراضات'!$C$60+'الافتراضات'!$C$61))*'الافتراضات'!$C$34*الافتراضات!$C$26)*12)*POWER((1+الافتراضات!$C$21),7-1)+('الافتراضات'!$C$73/365)*((((('الافتراضات'!$C$9*الافتراضات!$C$27)*'الافتراضات'!$C$51)*'الافتراضات'!$C$33*الافتراضات!$C$25)+((((('الافتراضات'!$C$9*الافتراضات!$C$27)*'الافتراضات'!$C$53)+(('الافتراضات'!$C$9*الافتراضات!$C$27)*'الافتراضات'!$C$52))/('الافتراضات'!$C$60+'الافتراضات'!$C$61))*'الافتراضات'!$C$34*الافتراضات!$C$26)+((('الافتراضات'!$C$9*الافتراضات!$C$27)*'الافتراضات'!$C$54)*'الافتراضات'!$C$35))*12)*POWER((1+الافتراضات!$C$21),7-1)*(1-'الافتراضات'!$C$72)-('الافتراضات'!$C$77/365)*((('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7-1)+'الافتراضات'!$C$78)</f>
        <v/>
      </c>
      <c r="K17" s="44">
        <f>(('الافتراضات'!$C$74/365)*(('الافتراضات'!$C$9*الافتراضات!$C$27)*12)*'الافتراضات'!$C$32*الافتراضات!$C$24*POWER((1+الافتراضات!$C$22),8-1)+('الافتراضات'!$C$75/365)*(((('الافتراضات'!$C$9*الافتراضات!$C$27)*'الافتراضات'!$C$51)*'الافتراضات'!$C$33*الافتراضات!$C$25)*12)*POWER((1+الافتراضات!$C$21),8-1)+('الافتراضات'!$C$76/365)*(((((('الافتراضات'!$C$9*الافتراضات!$C$27)*'الافتراضات'!$C$53)+(('الافتراضات'!$C$9*الافتراضات!$C$27)*'الافتراضات'!$C$52))/('الافتراضات'!$C$60+'الافتراضات'!$C$61))*'الافتراضات'!$C$34*الافتراضات!$C$26)*12)*POWER((1+الافتراضات!$C$21),8-1)+('الافتراضات'!$C$73/365)*((((('الافتراضات'!$C$9*الافتراضات!$C$27)*'الافتراضات'!$C$51)*'الافتراضات'!$C$33*الافتراضات!$C$25)+((((('الافتراضات'!$C$9*الافتراضات!$C$27)*'الافتراضات'!$C$53)+(('الافتراضات'!$C$9*الافتراضات!$C$27)*'الافتراضات'!$C$52))/('الافتراضات'!$C$60+'الافتراضات'!$C$61))*'الافتراضات'!$C$34*الافتراضات!$C$26)+((('الافتراضات'!$C$9*الافتراضات!$C$27)*'الافتراضات'!$C$54)*'الافتراضات'!$C$35))*12)*POWER((1+الافتراضات!$C$21),8-1)*(1-'الافتراضات'!$C$72)-('الافتراضات'!$C$77/365)*((('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8-1)+'الافتراضات'!$C$78)</f>
        <v/>
      </c>
      <c r="L17" s="44">
        <f>(('الافتراضات'!$C$74/365)*(('الافتراضات'!$C$9*الافتراضات!$C$27)*12)*'الافتراضات'!$C$32*الافتراضات!$C$24*POWER((1+الافتراضات!$C$22),9-1)+('الافتراضات'!$C$75/365)*(((('الافتراضات'!$C$9*الافتراضات!$C$27)*'الافتراضات'!$C$51)*'الافتراضات'!$C$33*الافتراضات!$C$25)*12)*POWER((1+الافتراضات!$C$21),9-1)+('الافتراضات'!$C$76/365)*(((((('الافتراضات'!$C$9*الافتراضات!$C$27)*'الافتراضات'!$C$53)+(('الافتراضات'!$C$9*الافتراضات!$C$27)*'الافتراضات'!$C$52))/('الافتراضات'!$C$60+'الافتراضات'!$C$61))*'الافتراضات'!$C$34*الافتراضات!$C$26)*12)*POWER((1+الافتراضات!$C$21),9-1)+('الافتراضات'!$C$73/365)*((((('الافتراضات'!$C$9*الافتراضات!$C$27)*'الافتراضات'!$C$51)*'الافتراضات'!$C$33*الافتراضات!$C$25)+((((('الافتراضات'!$C$9*الافتراضات!$C$27)*'الافتراضات'!$C$53)+(('الافتراضات'!$C$9*الافتراضات!$C$27)*'الافتراضات'!$C$52))/('الافتراضات'!$C$60+'الافتراضات'!$C$61))*'الافتراضات'!$C$34*الافتراضات!$C$26)+((('الافتراضات'!$C$9*الافتراضات!$C$27)*'الافتراضات'!$C$54)*'الافتراضات'!$C$35))*12)*POWER((1+الافتراضات!$C$21),9-1)*(1-'الافتراضات'!$C$72)-('الافتراضات'!$C$77/365)*((('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9-1)+'الافتراضات'!$C$78)</f>
        <v/>
      </c>
      <c r="M17" s="44">
        <f>(('الافتراضات'!$C$74/365)*(('الافتراضات'!$C$9*الافتراضات!$C$27)*12)*'الافتراضات'!$C$32*الافتراضات!$C$24*POWER((1+الافتراضات!$C$22),10-1)+('الافتراضات'!$C$75/365)*(((('الافتراضات'!$C$9*الافتراضات!$C$27)*'الافتراضات'!$C$51)*'الافتراضات'!$C$33*الافتراضات!$C$25)*12)*POWER((1+الافتراضات!$C$21),10-1)+('الافتراضات'!$C$76/365)*(((((('الافتراضات'!$C$9*الافتراضات!$C$27)*'الافتراضات'!$C$53)+(('الافتراضات'!$C$9*الافتراضات!$C$27)*'الافتراضات'!$C$52))/('الافتراضات'!$C$60+'الافتراضات'!$C$61))*'الافتراضات'!$C$34*الافتراضات!$C$26)*12)*POWER((1+الافتراضات!$C$21),10-1)+('الافتراضات'!$C$73/365)*((((('الافتراضات'!$C$9*الافتراضات!$C$27)*'الافتراضات'!$C$51)*'الافتراضات'!$C$33*الافتراضات!$C$25)+((((('الافتراضات'!$C$9*الافتراضات!$C$27)*'الافتراضات'!$C$53)+(('الافتراضات'!$C$9*الافتراضات!$C$27)*'الافتراضات'!$C$52))/('الافتراضات'!$C$60+'الافتراضات'!$C$61))*'الافتراضات'!$C$34*الافتراضات!$C$26)+((('الافتراضات'!$C$9*الافتراضات!$C$27)*'الافتراضات'!$C$54)*'الافتراضات'!$C$35))*12)*POWER((1+الافتراضات!$C$21),10-1)*(1-'الافتراضات'!$C$72)-('الافتراضات'!$C$77/365)*((('الافتراضات'!$C$9*الافتراضات!$C$27)*'الافتراضات'!$C$32*الافتراضات!$C$24+(('الافتراضات'!$C$9*الافتراضات!$C$27)*'الافتراضات'!$C$51)*'الافتراضات'!$C$44+(((('الافتراضات'!$C$9*الافتراضات!$C$27)*'الافتراضات'!$C$53)+(('الافتراضات'!$C$9*الافتراضات!$C$27)*'الافتراضات'!$C$52))/('الافتراضات'!$C$60+'الافتراضات'!$C$61))*'OPEX'!$C$18+(((('الافتراضات'!$C$9*الافتراضات!$C$27)*'الافتراضات'!$C$53)+(('الافتراضات'!$C$9*الافتراضات!$C$27)*'الافتراضات'!$C$52))/('الافتراضات'!$C$60+'الافتراضات'!$C$61))*('الافتراضات'!$C$45+'الافتراضات'!$C$46)+(('الافتراضات'!$C$9*الافتراضات!$C$27)*'الافتراضات'!$C$51)*'الافتراضات'!$C$33*الافتراضات!$C$25*'الافتراضات'!$C$47)*12)*POWER((1+الافتراضات!$C$22),10-1)+'الافتراضات'!$C$78)</f>
        <v/>
      </c>
    </row>
    <row r="18">
      <c r="B18" s="22" t="inlineStr">
        <is>
          <t>التغير في رأس المال العامل</t>
        </is>
      </c>
      <c r="C18" s="44" t="n">
        <v>0</v>
      </c>
      <c r="D18" s="44">
        <f>D17</f>
        <v/>
      </c>
      <c r="E18" s="44">
        <f>E17-D17</f>
        <v/>
      </c>
      <c r="F18" s="44">
        <f>F17-E17</f>
        <v/>
      </c>
      <c r="G18" s="44">
        <f>G17-F17</f>
        <v/>
      </c>
      <c r="H18" s="44">
        <f>H17-G17</f>
        <v/>
      </c>
      <c r="I18" s="44">
        <f>I17-H17</f>
        <v/>
      </c>
      <c r="J18" s="44">
        <f>J17-I17</f>
        <v/>
      </c>
      <c r="K18" s="44">
        <f>K17-J17</f>
        <v/>
      </c>
      <c r="L18" s="44">
        <f>L17-K17</f>
        <v/>
      </c>
      <c r="M18" s="44">
        <f>M17-L17</f>
        <v/>
      </c>
    </row>
    <row r="19">
      <c r="B19" s="45" t="inlineStr">
        <is>
          <t>التدفق النقدي الحر</t>
        </is>
      </c>
      <c r="C19" s="46">
        <f>-'CAPEX'!$C$44</f>
        <v/>
      </c>
      <c r="D19" s="46">
        <f>D13-D16-D18</f>
        <v/>
      </c>
      <c r="E19" s="46">
        <f>E13-E16-E18</f>
        <v/>
      </c>
      <c r="F19" s="46">
        <f>F13-F16-F18</f>
        <v/>
      </c>
      <c r="G19" s="46">
        <f>G13-G16-G18</f>
        <v/>
      </c>
      <c r="H19" s="46">
        <f>H13-H16-H18</f>
        <v/>
      </c>
      <c r="I19" s="46">
        <f>I13-I16-I18</f>
        <v/>
      </c>
      <c r="J19" s="46">
        <f>J13-J16-J18</f>
        <v/>
      </c>
      <c r="K19" s="46">
        <f>K13-K16-K18</f>
        <v/>
      </c>
      <c r="L19" s="46">
        <f>L13-L16-L18</f>
        <v/>
      </c>
      <c r="M19" s="46">
        <f>M13-M16-M18+M17+'CAPEX'!$C$49</f>
        <v/>
      </c>
    </row>
    <row r="20">
      <c r="B20" s="45" t="inlineStr">
        <is>
          <t>التدفق النقدي التراكمي</t>
        </is>
      </c>
      <c r="C20" s="46">
        <f>C19</f>
        <v/>
      </c>
      <c r="D20" s="46">
        <f>C20+D19</f>
        <v/>
      </c>
      <c r="E20" s="46">
        <f>D20+E19</f>
        <v/>
      </c>
      <c r="F20" s="46">
        <f>E20+F19</f>
        <v/>
      </c>
      <c r="G20" s="46">
        <f>F20+G19</f>
        <v/>
      </c>
      <c r="H20" s="46">
        <f>G20+H19</f>
        <v/>
      </c>
      <c r="I20" s="46">
        <f>H20+I19</f>
        <v/>
      </c>
      <c r="J20" s="46">
        <f>I20+J19</f>
        <v/>
      </c>
      <c r="K20" s="46">
        <f>J20+K19</f>
        <v/>
      </c>
      <c r="L20" s="46">
        <f>K20+L19</f>
        <v/>
      </c>
      <c r="M20" s="46">
        <f>L20+M19</f>
        <v/>
      </c>
    </row>
    <row r="21">
      <c r="B21" s="57" t="inlineStr">
        <is>
          <t>معدل الخصم للسيناريو</t>
        </is>
      </c>
      <c r="C21" s="76">
        <f>الافتراضات!$C$28</f>
        <v/>
      </c>
    </row>
    <row r="22">
      <c r="B22" s="57" t="inlineStr">
        <is>
          <t>NPV — 10 سنوات</t>
        </is>
      </c>
      <c r="C22" s="46">
        <f>NPV(الافتراضات!$C$28,D19:M19)+C19</f>
        <v/>
      </c>
    </row>
    <row r="23">
      <c r="B23" s="57" t="inlineStr">
        <is>
          <t>IRR — 10 سنوات</t>
        </is>
      </c>
      <c r="C23" s="52">
        <f>IFERROR(IRR(C19:M19),0)</f>
        <v/>
      </c>
    </row>
    <row r="24">
      <c r="B24" s="57" t="inlineStr">
        <is>
          <t>EBITDA (سنة 1)</t>
        </is>
      </c>
      <c r="C24" s="77">
        <f>D13</f>
        <v/>
      </c>
    </row>
    <row r="25">
      <c r="B25" s="57" t="inlineStr">
        <is>
          <t>صافي الربح (سنة 1)</t>
        </is>
      </c>
      <c r="C25" s="77">
        <f>D15</f>
        <v/>
      </c>
    </row>
    <row r="26">
      <c r="B26" s="57" t="inlineStr">
        <is>
          <t>إجمالي الاستثمار (CAPEX + رأس مال عامل)</t>
        </is>
      </c>
      <c r="C26" s="77">
        <f>'CAPEX'!$C$44+D17</f>
        <v/>
      </c>
    </row>
    <row r="27">
      <c r="B27" s="57" t="inlineStr">
        <is>
          <t>الحكم على السيناريو</t>
        </is>
      </c>
      <c r="C27" s="78">
        <f>IF(C22&gt;0,"مقبول عند معدل الخصم هذا","مرفوض — لا يحقق العائد المطلوب")</f>
        <v/>
      </c>
    </row>
    <row r="31" ht="21" customHeight="1">
      <c r="B31" s="27" t="inlineStr">
        <is>
          <t>السيناريو المتوقع (Base)</t>
        </is>
      </c>
      <c r="C31" s="28" t="n"/>
      <c r="D31" s="28" t="n"/>
      <c r="E31" s="28" t="n"/>
      <c r="F31" s="28" t="n"/>
      <c r="G31" s="28" t="n"/>
      <c r="H31" s="28" t="n"/>
      <c r="I31" s="28" t="n"/>
      <c r="J31" s="28" t="n"/>
      <c r="K31" s="28" t="n"/>
      <c r="L31" s="28" t="n"/>
      <c r="M31" s="28" t="n"/>
    </row>
    <row r="32">
      <c r="B32" s="34" t="inlineStr">
        <is>
          <t>السنة</t>
        </is>
      </c>
      <c r="C32" s="68" t="n">
        <v>0</v>
      </c>
      <c r="D32" s="68" t="n">
        <v>1</v>
      </c>
      <c r="E32" s="68" t="n">
        <v>2</v>
      </c>
      <c r="F32" s="68" t="n">
        <v>3</v>
      </c>
      <c r="G32" s="68" t="n">
        <v>4</v>
      </c>
      <c r="H32" s="68" t="n">
        <v>5</v>
      </c>
      <c r="I32" s="68" t="n">
        <v>6</v>
      </c>
      <c r="J32" s="68" t="n">
        <v>7</v>
      </c>
      <c r="K32" s="68" t="n">
        <v>8</v>
      </c>
      <c r="L32" s="68" t="n">
        <v>9</v>
      </c>
      <c r="M32" s="68" t="n">
        <v>10</v>
      </c>
    </row>
    <row r="33">
      <c r="B33" s="22" t="inlineStr">
        <is>
          <t>إيراد الأرز</t>
        </is>
      </c>
      <c r="C33" s="44" t="n">
        <v>0</v>
      </c>
      <c r="D33" s="44">
        <f>((('الافتراضات'!$C$9*الافتراضات!$D$27)*'الافتراضات'!$C$51)*'الافتراضات'!$C$33*الافتراضات!$D$25)*12*POWER((1+الافتراضات!$D$21),0)</f>
        <v/>
      </c>
      <c r="E33" s="44">
        <f>((('الافتراضات'!$C$9*الافتراضات!$D$27)*'الافتراضات'!$C$51)*'الافتراضات'!$C$33*الافتراضات!$D$25)*12*POWER((1+الافتراضات!$D$21),1)</f>
        <v/>
      </c>
      <c r="F33" s="44">
        <f>((('الافتراضات'!$C$9*الافتراضات!$D$27)*'الافتراضات'!$C$51)*'الافتراضات'!$C$33*الافتراضات!$D$25)*12*POWER((1+الافتراضات!$D$21),2)</f>
        <v/>
      </c>
      <c r="G33" s="44">
        <f>((('الافتراضات'!$C$9*الافتراضات!$D$27)*'الافتراضات'!$C$51)*'الافتراضات'!$C$33*الافتراضات!$D$25)*12*POWER((1+الافتراضات!$D$21),3)</f>
        <v/>
      </c>
      <c r="H33" s="44">
        <f>((('الافتراضات'!$C$9*الافتراضات!$D$27)*'الافتراضات'!$C$51)*'الافتراضات'!$C$33*الافتراضات!$D$25)*12*POWER((1+الافتراضات!$D$21),4)</f>
        <v/>
      </c>
      <c r="I33" s="44">
        <f>((('الافتراضات'!$C$9*الافتراضات!$D$27)*'الافتراضات'!$C$51)*'الافتراضات'!$C$33*الافتراضات!$D$25)*12*POWER((1+الافتراضات!$D$21),5)</f>
        <v/>
      </c>
      <c r="J33" s="44">
        <f>((('الافتراضات'!$C$9*الافتراضات!$D$27)*'الافتراضات'!$C$51)*'الافتراضات'!$C$33*الافتراضات!$D$25)*12*POWER((1+الافتراضات!$D$21),6)</f>
        <v/>
      </c>
      <c r="K33" s="44">
        <f>((('الافتراضات'!$C$9*الافتراضات!$D$27)*'الافتراضات'!$C$51)*'الافتراضات'!$C$33*الافتراضات!$D$25)*12*POWER((1+الافتراضات!$D$21),7)</f>
        <v/>
      </c>
      <c r="L33" s="44">
        <f>((('الافتراضات'!$C$9*الافتراضات!$D$27)*'الافتراضات'!$C$51)*'الافتراضات'!$C$33*الافتراضات!$D$25)*12*POWER((1+الافتراضات!$D$21),8)</f>
        <v/>
      </c>
      <c r="M33" s="44">
        <f>((('الافتراضات'!$C$9*الافتراضات!$D$27)*'الافتراضات'!$C$51)*'الافتراضات'!$C$33*الافتراضات!$D$25)*12*POWER((1+الافتراضات!$D$21),9)</f>
        <v/>
      </c>
    </row>
    <row r="34">
      <c r="B34" s="22" t="inlineStr">
        <is>
          <t>إيراد العلف</t>
        </is>
      </c>
      <c r="C34" s="44" t="n">
        <v>0</v>
      </c>
      <c r="D34" s="44">
        <f>((((('الافتراضات'!$C$9*الافتراضات!$D$27)*'الافتراضات'!$C$53)+(('الافتراضات'!$C$9*الافتراضات!$D$27)*'الافتراضات'!$C$52))/('الافتراضات'!$C$60+'الافتراضات'!$C$61))*'الافتراضات'!$C$34*الافتراضات!$D$26)*12*POWER((1+الافتراضات!$D$21),0)</f>
        <v/>
      </c>
      <c r="E34" s="44">
        <f>((((('الافتراضات'!$C$9*الافتراضات!$D$27)*'الافتراضات'!$C$53)+(('الافتراضات'!$C$9*الافتراضات!$D$27)*'الافتراضات'!$C$52))/('الافتراضات'!$C$60+'الافتراضات'!$C$61))*'الافتراضات'!$C$34*الافتراضات!$D$26)*12*POWER((1+الافتراضات!$D$21),1)</f>
        <v/>
      </c>
      <c r="F34" s="44">
        <f>((((('الافتراضات'!$C$9*الافتراضات!$D$27)*'الافتراضات'!$C$53)+(('الافتراضات'!$C$9*الافتراضات!$D$27)*'الافتراضات'!$C$52))/('الافتراضات'!$C$60+'الافتراضات'!$C$61))*'الافتراضات'!$C$34*الافتراضات!$D$26)*12*POWER((1+الافتراضات!$D$21),2)</f>
        <v/>
      </c>
      <c r="G34" s="44">
        <f>((((('الافتراضات'!$C$9*الافتراضات!$D$27)*'الافتراضات'!$C$53)+(('الافتراضات'!$C$9*الافتراضات!$D$27)*'الافتراضات'!$C$52))/('الافتراضات'!$C$60+'الافتراضات'!$C$61))*'الافتراضات'!$C$34*الافتراضات!$D$26)*12*POWER((1+الافتراضات!$D$21),3)</f>
        <v/>
      </c>
      <c r="H34" s="44">
        <f>((((('الافتراضات'!$C$9*الافتراضات!$D$27)*'الافتراضات'!$C$53)+(('الافتراضات'!$C$9*الافتراضات!$D$27)*'الافتراضات'!$C$52))/('الافتراضات'!$C$60+'الافتراضات'!$C$61))*'الافتراضات'!$C$34*الافتراضات!$D$26)*12*POWER((1+الافتراضات!$D$21),4)</f>
        <v/>
      </c>
      <c r="I34" s="44">
        <f>((((('الافتراضات'!$C$9*الافتراضات!$D$27)*'الافتراضات'!$C$53)+(('الافتراضات'!$C$9*الافتراضات!$D$27)*'الافتراضات'!$C$52))/('الافتراضات'!$C$60+'الافتراضات'!$C$61))*'الافتراضات'!$C$34*الافتراضات!$D$26)*12*POWER((1+الافتراضات!$D$21),5)</f>
        <v/>
      </c>
      <c r="J34" s="44">
        <f>((((('الافتراضات'!$C$9*الافتراضات!$D$27)*'الافتراضات'!$C$53)+(('الافتراضات'!$C$9*الافتراضات!$D$27)*'الافتراضات'!$C$52))/('الافتراضات'!$C$60+'الافتراضات'!$C$61))*'الافتراضات'!$C$34*الافتراضات!$D$26)*12*POWER((1+الافتراضات!$D$21),6)</f>
        <v/>
      </c>
      <c r="K34" s="44">
        <f>((((('الافتراضات'!$C$9*الافتراضات!$D$27)*'الافتراضات'!$C$53)+(('الافتراضات'!$C$9*الافتراضات!$D$27)*'الافتراضات'!$C$52))/('الافتراضات'!$C$60+'الافتراضات'!$C$61))*'الافتراضات'!$C$34*الافتراضات!$D$26)*12*POWER((1+الافتراضات!$D$21),7)</f>
        <v/>
      </c>
      <c r="L34" s="44">
        <f>((((('الافتراضات'!$C$9*الافتراضات!$D$27)*'الافتراضات'!$C$53)+(('الافتراضات'!$C$9*الافتراضات!$D$27)*'الافتراضات'!$C$52))/('الافتراضات'!$C$60+'الافتراضات'!$C$61))*'الافتراضات'!$C$34*الافتراضات!$D$26)*12*POWER((1+الافتراضات!$D$21),8)</f>
        <v/>
      </c>
      <c r="M34" s="44">
        <f>((((('الافتراضات'!$C$9*الافتراضات!$D$27)*'الافتراضات'!$C$53)+(('الافتراضات'!$C$9*الافتراضات!$D$27)*'الافتراضات'!$C$52))/('الافتراضات'!$C$60+'الافتراضات'!$C$61))*'الافتراضات'!$C$34*الافتراضات!$D$26)*12*POWER((1+الافتراضات!$D$21),9)</f>
        <v/>
      </c>
    </row>
    <row r="35">
      <c r="B35" s="22" t="inlineStr">
        <is>
          <t>قيمة السرس</t>
        </is>
      </c>
      <c r="C35" s="44" t="n">
        <v>0</v>
      </c>
      <c r="D35" s="44">
        <f>((('الافتراضات'!$C$9*الافتراضات!$D$27)*'الافتراضات'!$C$54)*'الافتراضات'!$C$35)*12*POWER((1+الافتراضات!$D$21),0)</f>
        <v/>
      </c>
      <c r="E35" s="44">
        <f>((('الافتراضات'!$C$9*الافتراضات!$D$27)*'الافتراضات'!$C$54)*'الافتراضات'!$C$35)*12*POWER((1+الافتراضات!$D$21),1)</f>
        <v/>
      </c>
      <c r="F35" s="44">
        <f>((('الافتراضات'!$C$9*الافتراضات!$D$27)*'الافتراضات'!$C$54)*'الافتراضات'!$C$35)*12*POWER((1+الافتراضات!$D$21),2)</f>
        <v/>
      </c>
      <c r="G35" s="44">
        <f>((('الافتراضات'!$C$9*الافتراضات!$D$27)*'الافتراضات'!$C$54)*'الافتراضات'!$C$35)*12*POWER((1+الافتراضات!$D$21),3)</f>
        <v/>
      </c>
      <c r="H35" s="44">
        <f>((('الافتراضات'!$C$9*الافتراضات!$D$27)*'الافتراضات'!$C$54)*'الافتراضات'!$C$35)*12*POWER((1+الافتراضات!$D$21),4)</f>
        <v/>
      </c>
      <c r="I35" s="44">
        <f>((('الافتراضات'!$C$9*الافتراضات!$D$27)*'الافتراضات'!$C$54)*'الافتراضات'!$C$35)*12*POWER((1+الافتراضات!$D$21),5)</f>
        <v/>
      </c>
      <c r="J35" s="44">
        <f>((('الافتراضات'!$C$9*الافتراضات!$D$27)*'الافتراضات'!$C$54)*'الافتراضات'!$C$35)*12*POWER((1+الافتراضات!$D$21),6)</f>
        <v/>
      </c>
      <c r="K35" s="44">
        <f>((('الافتراضات'!$C$9*الافتراضات!$D$27)*'الافتراضات'!$C$54)*'الافتراضات'!$C$35)*12*POWER((1+الافتراضات!$D$21),7)</f>
        <v/>
      </c>
      <c r="L35" s="44">
        <f>((('الافتراضات'!$C$9*الافتراضات!$D$27)*'الافتراضات'!$C$54)*'الافتراضات'!$C$35)*12*POWER((1+الافتراضات!$D$21),8)</f>
        <v/>
      </c>
      <c r="M35" s="44">
        <f>((('الافتراضات'!$C$9*الافتراضات!$D$27)*'الافتراضات'!$C$54)*'الافتراضات'!$C$35)*12*POWER((1+الافتراضات!$D$21),9)</f>
        <v/>
      </c>
    </row>
    <row r="36">
      <c r="B36" s="34" t="inlineStr">
        <is>
          <t>إجمالي الإيرادات</t>
        </is>
      </c>
      <c r="C36" s="35" t="n">
        <v>0</v>
      </c>
      <c r="D36" s="35">
        <f>SUM(D33:D35)</f>
        <v/>
      </c>
      <c r="E36" s="35">
        <f>SUM(E33:E35)</f>
        <v/>
      </c>
      <c r="F36" s="35">
        <f>SUM(F33:F35)</f>
        <v/>
      </c>
      <c r="G36" s="35">
        <f>SUM(G33:G35)</f>
        <v/>
      </c>
      <c r="H36" s="35">
        <f>SUM(H33:H35)</f>
        <v/>
      </c>
      <c r="I36" s="35">
        <f>SUM(I33:I35)</f>
        <v/>
      </c>
      <c r="J36" s="35">
        <f>SUM(J33:J35)</f>
        <v/>
      </c>
      <c r="K36" s="35">
        <f>SUM(K33:K35)</f>
        <v/>
      </c>
      <c r="L36" s="35">
        <f>SUM(L33:L35)</f>
        <v/>
      </c>
      <c r="M36" s="35">
        <f>SUM(M33:M35)</f>
        <v/>
      </c>
    </row>
    <row r="37">
      <c r="B37" s="22" t="inlineStr">
        <is>
          <t>إجمالي التكاليف المتغيرة</t>
        </is>
      </c>
      <c r="C37" s="44" t="n">
        <v>0</v>
      </c>
      <c r="D37" s="44">
        <f>(('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0)</f>
        <v/>
      </c>
      <c r="E37" s="44">
        <f>(('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1)</f>
        <v/>
      </c>
      <c r="F37" s="44">
        <f>(('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2)</f>
        <v/>
      </c>
      <c r="G37" s="44">
        <f>(('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3)</f>
        <v/>
      </c>
      <c r="H37" s="44">
        <f>(('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4)</f>
        <v/>
      </c>
      <c r="I37" s="44">
        <f>(('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5)</f>
        <v/>
      </c>
      <c r="J37" s="44">
        <f>(('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6)</f>
        <v/>
      </c>
      <c r="K37" s="44">
        <f>(('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7)</f>
        <v/>
      </c>
      <c r="L37" s="44">
        <f>(('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8)</f>
        <v/>
      </c>
      <c r="M37" s="44">
        <f>(('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9)</f>
        <v/>
      </c>
    </row>
    <row r="38">
      <c r="B38" s="22" t="inlineStr">
        <is>
          <t>التكاليف الثابتة</t>
        </is>
      </c>
      <c r="C38" s="44" t="n">
        <v>0</v>
      </c>
      <c r="D38" s="44">
        <f>'الافتراضات'!$C$104*12*POWER((1+الافتراضات!$D$23),0)</f>
        <v/>
      </c>
      <c r="E38" s="44">
        <f>'الافتراضات'!$C$104*12*POWER((1+الافتراضات!$D$23),1)</f>
        <v/>
      </c>
      <c r="F38" s="44">
        <f>'الافتراضات'!$C$104*12*POWER((1+الافتراضات!$D$23),2)</f>
        <v/>
      </c>
      <c r="G38" s="44">
        <f>'الافتراضات'!$C$104*12*POWER((1+الافتراضات!$D$23),3)</f>
        <v/>
      </c>
      <c r="H38" s="44">
        <f>'الافتراضات'!$C$104*12*POWER((1+الافتراضات!$D$23),4)</f>
        <v/>
      </c>
      <c r="I38" s="44">
        <f>'الافتراضات'!$C$104*12*POWER((1+الافتراضات!$D$23),5)</f>
        <v/>
      </c>
      <c r="J38" s="44">
        <f>'الافتراضات'!$C$104*12*POWER((1+الافتراضات!$D$23),6)</f>
        <v/>
      </c>
      <c r="K38" s="44">
        <f>'الافتراضات'!$C$104*12*POWER((1+الافتراضات!$D$23),7)</f>
        <v/>
      </c>
      <c r="L38" s="44">
        <f>'الافتراضات'!$C$104*12*POWER((1+الافتراضات!$D$23),8)</f>
        <v/>
      </c>
      <c r="M38" s="44">
        <f>'الافتراضات'!$C$104*12*POWER((1+الافتراضات!$D$23),9)</f>
        <v/>
      </c>
    </row>
    <row r="39">
      <c r="B39" s="34" t="inlineStr">
        <is>
          <t>EBITDA</t>
        </is>
      </c>
      <c r="C39" s="35" t="n">
        <v>0</v>
      </c>
      <c r="D39" s="35">
        <f>D36-D37-D38</f>
        <v/>
      </c>
      <c r="E39" s="35">
        <f>E36-E37-E38</f>
        <v/>
      </c>
      <c r="F39" s="35">
        <f>F36-F37-F38</f>
        <v/>
      </c>
      <c r="G39" s="35">
        <f>G36-G37-G38</f>
        <v/>
      </c>
      <c r="H39" s="35">
        <f>H36-H37-H38</f>
        <v/>
      </c>
      <c r="I39" s="35">
        <f>I36-I37-I38</f>
        <v/>
      </c>
      <c r="J39" s="35">
        <f>J36-J37-J38</f>
        <v/>
      </c>
      <c r="K39" s="35">
        <f>K36-K37-K38</f>
        <v/>
      </c>
      <c r="L39" s="35">
        <f>L36-L37-L38</f>
        <v/>
      </c>
      <c r="M39" s="35">
        <f>M36-M37-M38</f>
        <v/>
      </c>
    </row>
    <row r="40">
      <c r="B40" s="22" t="inlineStr">
        <is>
          <t>الاهتلاك والإطفاء</t>
        </is>
      </c>
      <c r="C40" s="44" t="n">
        <v>0</v>
      </c>
      <c r="D40" s="44">
        <f>'CAPEX'!$C$50</f>
        <v/>
      </c>
      <c r="E40" s="44">
        <f>'CAPEX'!$C$50</f>
        <v/>
      </c>
      <c r="F40" s="44">
        <f>'CAPEX'!$C$50</f>
        <v/>
      </c>
      <c r="G40" s="44">
        <f>'CAPEX'!$C$50</f>
        <v/>
      </c>
      <c r="H40" s="44">
        <f>'CAPEX'!$C$50</f>
        <v/>
      </c>
      <c r="I40" s="44">
        <f>'CAPEX'!$C$50</f>
        <v/>
      </c>
      <c r="J40" s="44">
        <f>'CAPEX'!$C$50</f>
        <v/>
      </c>
      <c r="K40" s="44">
        <f>'CAPEX'!$C$50</f>
        <v/>
      </c>
      <c r="L40" s="44">
        <f>'CAPEX'!$C$50</f>
        <v/>
      </c>
      <c r="M40" s="44">
        <f>'CAPEX'!$C$50</f>
        <v/>
      </c>
    </row>
    <row r="41">
      <c r="B41" s="22" t="inlineStr">
        <is>
          <t>صافي الربح بعد الضريبة</t>
        </is>
      </c>
      <c r="C41" s="44" t="n">
        <v>0</v>
      </c>
      <c r="D41" s="44">
        <f>D39-D40-MAX(0,D39-D40)*'الافتراضات'!$C$11</f>
        <v/>
      </c>
      <c r="E41" s="44">
        <f>E39-E40-MAX(0,E39-E40)*'الافتراضات'!$C$11</f>
        <v/>
      </c>
      <c r="F41" s="44">
        <f>F39-F40-MAX(0,F39-F40)*'الافتراضات'!$C$11</f>
        <v/>
      </c>
      <c r="G41" s="44">
        <f>G39-G40-MAX(0,G39-G40)*'الافتراضات'!$C$11</f>
        <v/>
      </c>
      <c r="H41" s="44">
        <f>H39-H40-MAX(0,H39-H40)*'الافتراضات'!$C$11</f>
        <v/>
      </c>
      <c r="I41" s="44">
        <f>I39-I40-MAX(0,I39-I40)*'الافتراضات'!$C$11</f>
        <v/>
      </c>
      <c r="J41" s="44">
        <f>J39-J40-MAX(0,J39-J40)*'الافتراضات'!$C$11</f>
        <v/>
      </c>
      <c r="K41" s="44">
        <f>K39-K40-MAX(0,K39-K40)*'الافتراضات'!$C$11</f>
        <v/>
      </c>
      <c r="L41" s="44">
        <f>L39-L40-MAX(0,L39-L40)*'الافتراضات'!$C$11</f>
        <v/>
      </c>
      <c r="M41" s="44">
        <f>M39-M40-MAX(0,M39-M40)*'الافتراضات'!$C$11</f>
        <v/>
      </c>
    </row>
    <row r="42">
      <c r="B42" s="22" t="inlineStr">
        <is>
          <t>الضريبة</t>
        </is>
      </c>
      <c r="C42" s="44" t="n">
        <v>0</v>
      </c>
      <c r="D42" s="44">
        <f>MAX(0,D39-D40)*'الافتراضات'!$C$11</f>
        <v/>
      </c>
      <c r="E42" s="44">
        <f>MAX(0,E39-E40)*'الافتراضات'!$C$11</f>
        <v/>
      </c>
      <c r="F42" s="44">
        <f>MAX(0,F39-F40)*'الافتراضات'!$C$11</f>
        <v/>
      </c>
      <c r="G42" s="44">
        <f>MAX(0,G39-G40)*'الافتراضات'!$C$11</f>
        <v/>
      </c>
      <c r="H42" s="44">
        <f>MAX(0,H39-H40)*'الافتراضات'!$C$11</f>
        <v/>
      </c>
      <c r="I42" s="44">
        <f>MAX(0,I39-I40)*'الافتراضات'!$C$11</f>
        <v/>
      </c>
      <c r="J42" s="44">
        <f>MAX(0,J39-J40)*'الافتراضات'!$C$11</f>
        <v/>
      </c>
      <c r="K42" s="44">
        <f>MAX(0,K39-K40)*'الافتراضات'!$C$11</f>
        <v/>
      </c>
      <c r="L42" s="44">
        <f>MAX(0,L39-L40)*'الافتراضات'!$C$11</f>
        <v/>
      </c>
      <c r="M42" s="44">
        <f>MAX(0,M39-M40)*'الافتراضات'!$C$11</f>
        <v/>
      </c>
    </row>
    <row r="43">
      <c r="B43" s="22" t="inlineStr">
        <is>
          <t>رصيد رأس المال العامل</t>
        </is>
      </c>
      <c r="C43" s="44" t="n">
        <v>0</v>
      </c>
      <c r="D43" s="44">
        <f>(('الافتراضات'!$C$74/365)*(('الافتراضات'!$C$9*الافتراضات!$D$27)*12)*'الافتراضات'!$C$32*الافتراضات!$D$24*POWER((1+الافتراضات!$D$22),1-1)+('الافتراضات'!$C$75/365)*(((('الافتراضات'!$C$9*الافتراضات!$D$27)*'الافتراضات'!$C$51)*'الافتراضات'!$C$33*الافتراضات!$D$25)*12)*POWER((1+الافتراضات!$D$21),1-1)+('الافتراضات'!$C$76/365)*(((((('الافتراضات'!$C$9*الافتراضات!$D$27)*'الافتراضات'!$C$53)+(('الافتراضات'!$C$9*الافتراضات!$D$27)*'الافتراضات'!$C$52))/('الافتراضات'!$C$60+'الافتراضات'!$C$61))*'الافتراضات'!$C$34*الافتراضات!$D$26)*12)*POWER((1+الافتراضات!$D$21),1-1)+('الافتراضات'!$C$73/365)*((((('الافتراضات'!$C$9*الافتراضات!$D$27)*'الافتراضات'!$C$51)*'الافتراضات'!$C$33*الافتراضات!$D$25)+((((('الافتراضات'!$C$9*الافتراضات!$D$27)*'الافتراضات'!$C$53)+(('الافتراضات'!$C$9*الافتراضات!$D$27)*'الافتراضات'!$C$52))/('الافتراضات'!$C$60+'الافتراضات'!$C$61))*'الافتراضات'!$C$34*الافتراضات!$D$26)+((('الافتراضات'!$C$9*الافتراضات!$D$27)*'الافتراضات'!$C$54)*'الافتراضات'!$C$35))*12)*POWER((1+الافتراضات!$D$21),1-1)*(1-'الافتراضات'!$C$72)-('الافتراضات'!$C$77/365)*((('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1-1)+'الافتراضات'!$C$78)</f>
        <v/>
      </c>
      <c r="E43" s="44">
        <f>(('الافتراضات'!$C$74/365)*(('الافتراضات'!$C$9*الافتراضات!$D$27)*12)*'الافتراضات'!$C$32*الافتراضات!$D$24*POWER((1+الافتراضات!$D$22),2-1)+('الافتراضات'!$C$75/365)*(((('الافتراضات'!$C$9*الافتراضات!$D$27)*'الافتراضات'!$C$51)*'الافتراضات'!$C$33*الافتراضات!$D$25)*12)*POWER((1+الافتراضات!$D$21),2-1)+('الافتراضات'!$C$76/365)*(((((('الافتراضات'!$C$9*الافتراضات!$D$27)*'الافتراضات'!$C$53)+(('الافتراضات'!$C$9*الافتراضات!$D$27)*'الافتراضات'!$C$52))/('الافتراضات'!$C$60+'الافتراضات'!$C$61))*'الافتراضات'!$C$34*الافتراضات!$D$26)*12)*POWER((1+الافتراضات!$D$21),2-1)+('الافتراضات'!$C$73/365)*((((('الافتراضات'!$C$9*الافتراضات!$D$27)*'الافتراضات'!$C$51)*'الافتراضات'!$C$33*الافتراضات!$D$25)+((((('الافتراضات'!$C$9*الافتراضات!$D$27)*'الافتراضات'!$C$53)+(('الافتراضات'!$C$9*الافتراضات!$D$27)*'الافتراضات'!$C$52))/('الافتراضات'!$C$60+'الافتراضات'!$C$61))*'الافتراضات'!$C$34*الافتراضات!$D$26)+((('الافتراضات'!$C$9*الافتراضات!$D$27)*'الافتراضات'!$C$54)*'الافتراضات'!$C$35))*12)*POWER((1+الافتراضات!$D$21),2-1)*(1-'الافتراضات'!$C$72)-('الافتراضات'!$C$77/365)*((('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2-1)+'الافتراضات'!$C$78)</f>
        <v/>
      </c>
      <c r="F43" s="44">
        <f>(('الافتراضات'!$C$74/365)*(('الافتراضات'!$C$9*الافتراضات!$D$27)*12)*'الافتراضات'!$C$32*الافتراضات!$D$24*POWER((1+الافتراضات!$D$22),3-1)+('الافتراضات'!$C$75/365)*(((('الافتراضات'!$C$9*الافتراضات!$D$27)*'الافتراضات'!$C$51)*'الافتراضات'!$C$33*الافتراضات!$D$25)*12)*POWER((1+الافتراضات!$D$21),3-1)+('الافتراضات'!$C$76/365)*(((((('الافتراضات'!$C$9*الافتراضات!$D$27)*'الافتراضات'!$C$53)+(('الافتراضات'!$C$9*الافتراضات!$D$27)*'الافتراضات'!$C$52))/('الافتراضات'!$C$60+'الافتراضات'!$C$61))*'الافتراضات'!$C$34*الافتراضات!$D$26)*12)*POWER((1+الافتراضات!$D$21),3-1)+('الافتراضات'!$C$73/365)*((((('الافتراضات'!$C$9*الافتراضات!$D$27)*'الافتراضات'!$C$51)*'الافتراضات'!$C$33*الافتراضات!$D$25)+((((('الافتراضات'!$C$9*الافتراضات!$D$27)*'الافتراضات'!$C$53)+(('الافتراضات'!$C$9*الافتراضات!$D$27)*'الافتراضات'!$C$52))/('الافتراضات'!$C$60+'الافتراضات'!$C$61))*'الافتراضات'!$C$34*الافتراضات!$D$26)+((('الافتراضات'!$C$9*الافتراضات!$D$27)*'الافتراضات'!$C$54)*'الافتراضات'!$C$35))*12)*POWER((1+الافتراضات!$D$21),3-1)*(1-'الافتراضات'!$C$72)-('الافتراضات'!$C$77/365)*((('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3-1)+'الافتراضات'!$C$78)</f>
        <v/>
      </c>
      <c r="G43" s="44">
        <f>(('الافتراضات'!$C$74/365)*(('الافتراضات'!$C$9*الافتراضات!$D$27)*12)*'الافتراضات'!$C$32*الافتراضات!$D$24*POWER((1+الافتراضات!$D$22),4-1)+('الافتراضات'!$C$75/365)*(((('الافتراضات'!$C$9*الافتراضات!$D$27)*'الافتراضات'!$C$51)*'الافتراضات'!$C$33*الافتراضات!$D$25)*12)*POWER((1+الافتراضات!$D$21),4-1)+('الافتراضات'!$C$76/365)*(((((('الافتراضات'!$C$9*الافتراضات!$D$27)*'الافتراضات'!$C$53)+(('الافتراضات'!$C$9*الافتراضات!$D$27)*'الافتراضات'!$C$52))/('الافتراضات'!$C$60+'الافتراضات'!$C$61))*'الافتراضات'!$C$34*الافتراضات!$D$26)*12)*POWER((1+الافتراضات!$D$21),4-1)+('الافتراضات'!$C$73/365)*((((('الافتراضات'!$C$9*الافتراضات!$D$27)*'الافتراضات'!$C$51)*'الافتراضات'!$C$33*الافتراضات!$D$25)+((((('الافتراضات'!$C$9*الافتراضات!$D$27)*'الافتراضات'!$C$53)+(('الافتراضات'!$C$9*الافتراضات!$D$27)*'الافتراضات'!$C$52))/('الافتراضات'!$C$60+'الافتراضات'!$C$61))*'الافتراضات'!$C$34*الافتراضات!$D$26)+((('الافتراضات'!$C$9*الافتراضات!$D$27)*'الافتراضات'!$C$54)*'الافتراضات'!$C$35))*12)*POWER((1+الافتراضات!$D$21),4-1)*(1-'الافتراضات'!$C$72)-('الافتراضات'!$C$77/365)*((('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4-1)+'الافتراضات'!$C$78)</f>
        <v/>
      </c>
      <c r="H43" s="44">
        <f>(('الافتراضات'!$C$74/365)*(('الافتراضات'!$C$9*الافتراضات!$D$27)*12)*'الافتراضات'!$C$32*الافتراضات!$D$24*POWER((1+الافتراضات!$D$22),5-1)+('الافتراضات'!$C$75/365)*(((('الافتراضات'!$C$9*الافتراضات!$D$27)*'الافتراضات'!$C$51)*'الافتراضات'!$C$33*الافتراضات!$D$25)*12)*POWER((1+الافتراضات!$D$21),5-1)+('الافتراضات'!$C$76/365)*(((((('الافتراضات'!$C$9*الافتراضات!$D$27)*'الافتراضات'!$C$53)+(('الافتراضات'!$C$9*الافتراضات!$D$27)*'الافتراضات'!$C$52))/('الافتراضات'!$C$60+'الافتراضات'!$C$61))*'الافتراضات'!$C$34*الافتراضات!$D$26)*12)*POWER((1+الافتراضات!$D$21),5-1)+('الافتراضات'!$C$73/365)*((((('الافتراضات'!$C$9*الافتراضات!$D$27)*'الافتراضات'!$C$51)*'الافتراضات'!$C$33*الافتراضات!$D$25)+((((('الافتراضات'!$C$9*الافتراضات!$D$27)*'الافتراضات'!$C$53)+(('الافتراضات'!$C$9*الافتراضات!$D$27)*'الافتراضات'!$C$52))/('الافتراضات'!$C$60+'الافتراضات'!$C$61))*'الافتراضات'!$C$34*الافتراضات!$D$26)+((('الافتراضات'!$C$9*الافتراضات!$D$27)*'الافتراضات'!$C$54)*'الافتراضات'!$C$35))*12)*POWER((1+الافتراضات!$D$21),5-1)*(1-'الافتراضات'!$C$72)-('الافتراضات'!$C$77/365)*((('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5-1)+'الافتراضات'!$C$78)</f>
        <v/>
      </c>
      <c r="I43" s="44">
        <f>(('الافتراضات'!$C$74/365)*(('الافتراضات'!$C$9*الافتراضات!$D$27)*12)*'الافتراضات'!$C$32*الافتراضات!$D$24*POWER((1+الافتراضات!$D$22),6-1)+('الافتراضات'!$C$75/365)*(((('الافتراضات'!$C$9*الافتراضات!$D$27)*'الافتراضات'!$C$51)*'الافتراضات'!$C$33*الافتراضات!$D$25)*12)*POWER((1+الافتراضات!$D$21),6-1)+('الافتراضات'!$C$76/365)*(((((('الافتراضات'!$C$9*الافتراضات!$D$27)*'الافتراضات'!$C$53)+(('الافتراضات'!$C$9*الافتراضات!$D$27)*'الافتراضات'!$C$52))/('الافتراضات'!$C$60+'الافتراضات'!$C$61))*'الافتراضات'!$C$34*الافتراضات!$D$26)*12)*POWER((1+الافتراضات!$D$21),6-1)+('الافتراضات'!$C$73/365)*((((('الافتراضات'!$C$9*الافتراضات!$D$27)*'الافتراضات'!$C$51)*'الافتراضات'!$C$33*الافتراضات!$D$25)+((((('الافتراضات'!$C$9*الافتراضات!$D$27)*'الافتراضات'!$C$53)+(('الافتراضات'!$C$9*الافتراضات!$D$27)*'الافتراضات'!$C$52))/('الافتراضات'!$C$60+'الافتراضات'!$C$61))*'الافتراضات'!$C$34*الافتراضات!$D$26)+((('الافتراضات'!$C$9*الافتراضات!$D$27)*'الافتراضات'!$C$54)*'الافتراضات'!$C$35))*12)*POWER((1+الافتراضات!$D$21),6-1)*(1-'الافتراضات'!$C$72)-('الافتراضات'!$C$77/365)*((('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6-1)+'الافتراضات'!$C$78)</f>
        <v/>
      </c>
      <c r="J43" s="44">
        <f>(('الافتراضات'!$C$74/365)*(('الافتراضات'!$C$9*الافتراضات!$D$27)*12)*'الافتراضات'!$C$32*الافتراضات!$D$24*POWER((1+الافتراضات!$D$22),7-1)+('الافتراضات'!$C$75/365)*(((('الافتراضات'!$C$9*الافتراضات!$D$27)*'الافتراضات'!$C$51)*'الافتراضات'!$C$33*الافتراضات!$D$25)*12)*POWER((1+الافتراضات!$D$21),7-1)+('الافتراضات'!$C$76/365)*(((((('الافتراضات'!$C$9*الافتراضات!$D$27)*'الافتراضات'!$C$53)+(('الافتراضات'!$C$9*الافتراضات!$D$27)*'الافتراضات'!$C$52))/('الافتراضات'!$C$60+'الافتراضات'!$C$61))*'الافتراضات'!$C$34*الافتراضات!$D$26)*12)*POWER((1+الافتراضات!$D$21),7-1)+('الافتراضات'!$C$73/365)*((((('الافتراضات'!$C$9*الافتراضات!$D$27)*'الافتراضات'!$C$51)*'الافتراضات'!$C$33*الافتراضات!$D$25)+((((('الافتراضات'!$C$9*الافتراضات!$D$27)*'الافتراضات'!$C$53)+(('الافتراضات'!$C$9*الافتراضات!$D$27)*'الافتراضات'!$C$52))/('الافتراضات'!$C$60+'الافتراضات'!$C$61))*'الافتراضات'!$C$34*الافتراضات!$D$26)+((('الافتراضات'!$C$9*الافتراضات!$D$27)*'الافتراضات'!$C$54)*'الافتراضات'!$C$35))*12)*POWER((1+الافتراضات!$D$21),7-1)*(1-'الافتراضات'!$C$72)-('الافتراضات'!$C$77/365)*((('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7-1)+'الافتراضات'!$C$78)</f>
        <v/>
      </c>
      <c r="K43" s="44">
        <f>(('الافتراضات'!$C$74/365)*(('الافتراضات'!$C$9*الافتراضات!$D$27)*12)*'الافتراضات'!$C$32*الافتراضات!$D$24*POWER((1+الافتراضات!$D$22),8-1)+('الافتراضات'!$C$75/365)*(((('الافتراضات'!$C$9*الافتراضات!$D$27)*'الافتراضات'!$C$51)*'الافتراضات'!$C$33*الافتراضات!$D$25)*12)*POWER((1+الافتراضات!$D$21),8-1)+('الافتراضات'!$C$76/365)*(((((('الافتراضات'!$C$9*الافتراضات!$D$27)*'الافتراضات'!$C$53)+(('الافتراضات'!$C$9*الافتراضات!$D$27)*'الافتراضات'!$C$52))/('الافتراضات'!$C$60+'الافتراضات'!$C$61))*'الافتراضات'!$C$34*الافتراضات!$D$26)*12)*POWER((1+الافتراضات!$D$21),8-1)+('الافتراضات'!$C$73/365)*((((('الافتراضات'!$C$9*الافتراضات!$D$27)*'الافتراضات'!$C$51)*'الافتراضات'!$C$33*الافتراضات!$D$25)+((((('الافتراضات'!$C$9*الافتراضات!$D$27)*'الافتراضات'!$C$53)+(('الافتراضات'!$C$9*الافتراضات!$D$27)*'الافتراضات'!$C$52))/('الافتراضات'!$C$60+'الافتراضات'!$C$61))*'الافتراضات'!$C$34*الافتراضات!$D$26)+((('الافتراضات'!$C$9*الافتراضات!$D$27)*'الافتراضات'!$C$54)*'الافتراضات'!$C$35))*12)*POWER((1+الافتراضات!$D$21),8-1)*(1-'الافتراضات'!$C$72)-('الافتراضات'!$C$77/365)*((('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8-1)+'الافتراضات'!$C$78)</f>
        <v/>
      </c>
      <c r="L43" s="44">
        <f>(('الافتراضات'!$C$74/365)*(('الافتراضات'!$C$9*الافتراضات!$D$27)*12)*'الافتراضات'!$C$32*الافتراضات!$D$24*POWER((1+الافتراضات!$D$22),9-1)+('الافتراضات'!$C$75/365)*(((('الافتراضات'!$C$9*الافتراضات!$D$27)*'الافتراضات'!$C$51)*'الافتراضات'!$C$33*الافتراضات!$D$25)*12)*POWER((1+الافتراضات!$D$21),9-1)+('الافتراضات'!$C$76/365)*(((((('الافتراضات'!$C$9*الافتراضات!$D$27)*'الافتراضات'!$C$53)+(('الافتراضات'!$C$9*الافتراضات!$D$27)*'الافتراضات'!$C$52))/('الافتراضات'!$C$60+'الافتراضات'!$C$61))*'الافتراضات'!$C$34*الافتراضات!$D$26)*12)*POWER((1+الافتراضات!$D$21),9-1)+('الافتراضات'!$C$73/365)*((((('الافتراضات'!$C$9*الافتراضات!$D$27)*'الافتراضات'!$C$51)*'الافتراضات'!$C$33*الافتراضات!$D$25)+((((('الافتراضات'!$C$9*الافتراضات!$D$27)*'الافتراضات'!$C$53)+(('الافتراضات'!$C$9*الافتراضات!$D$27)*'الافتراضات'!$C$52))/('الافتراضات'!$C$60+'الافتراضات'!$C$61))*'الافتراضات'!$C$34*الافتراضات!$D$26)+((('الافتراضات'!$C$9*الافتراضات!$D$27)*'الافتراضات'!$C$54)*'الافتراضات'!$C$35))*12)*POWER((1+الافتراضات!$D$21),9-1)*(1-'الافتراضات'!$C$72)-('الافتراضات'!$C$77/365)*((('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9-1)+'الافتراضات'!$C$78)</f>
        <v/>
      </c>
      <c r="M43" s="44">
        <f>(('الافتراضات'!$C$74/365)*(('الافتراضات'!$C$9*الافتراضات!$D$27)*12)*'الافتراضات'!$C$32*الافتراضات!$D$24*POWER((1+الافتراضات!$D$22),10-1)+('الافتراضات'!$C$75/365)*(((('الافتراضات'!$C$9*الافتراضات!$D$27)*'الافتراضات'!$C$51)*'الافتراضات'!$C$33*الافتراضات!$D$25)*12)*POWER((1+الافتراضات!$D$21),10-1)+('الافتراضات'!$C$76/365)*(((((('الافتراضات'!$C$9*الافتراضات!$D$27)*'الافتراضات'!$C$53)+(('الافتراضات'!$C$9*الافتراضات!$D$27)*'الافتراضات'!$C$52))/('الافتراضات'!$C$60+'الافتراضات'!$C$61))*'الافتراضات'!$C$34*الافتراضات!$D$26)*12)*POWER((1+الافتراضات!$D$21),10-1)+('الافتراضات'!$C$73/365)*((((('الافتراضات'!$C$9*الافتراضات!$D$27)*'الافتراضات'!$C$51)*'الافتراضات'!$C$33*الافتراضات!$D$25)+((((('الافتراضات'!$C$9*الافتراضات!$D$27)*'الافتراضات'!$C$53)+(('الافتراضات'!$C$9*الافتراضات!$D$27)*'الافتراضات'!$C$52))/('الافتراضات'!$C$60+'الافتراضات'!$C$61))*'الافتراضات'!$C$34*الافتراضات!$D$26)+((('الافتراضات'!$C$9*الافتراضات!$D$27)*'الافتراضات'!$C$54)*'الافتراضات'!$C$35))*12)*POWER((1+الافتراضات!$D$21),10-1)*(1-'الافتراضات'!$C$72)-('الافتراضات'!$C$77/365)*((('الافتراضات'!$C$9*الافتراضات!$D$27)*'الافتراضات'!$C$32*الافتراضات!$D$24+(('الافتراضات'!$C$9*الافتراضات!$D$27)*'الافتراضات'!$C$51)*'الافتراضات'!$C$44+(((('الافتراضات'!$C$9*الافتراضات!$D$27)*'الافتراضات'!$C$53)+(('الافتراضات'!$C$9*الافتراضات!$D$27)*'الافتراضات'!$C$52))/('الافتراضات'!$C$60+'الافتراضات'!$C$61))*'OPEX'!$C$18+(((('الافتراضات'!$C$9*الافتراضات!$D$27)*'الافتراضات'!$C$53)+(('الافتراضات'!$C$9*الافتراضات!$D$27)*'الافتراضات'!$C$52))/('الافتراضات'!$C$60+'الافتراضات'!$C$61))*('الافتراضات'!$C$45+'الافتراضات'!$C$46)+(('الافتراضات'!$C$9*الافتراضات!$D$27)*'الافتراضات'!$C$51)*'الافتراضات'!$C$33*الافتراضات!$D$25*'الافتراضات'!$C$47)*12)*POWER((1+الافتراضات!$D$22),10-1)+'الافتراضات'!$C$78)</f>
        <v/>
      </c>
    </row>
    <row r="44">
      <c r="B44" s="22" t="inlineStr">
        <is>
          <t>التغير في رأس المال العامل</t>
        </is>
      </c>
      <c r="C44" s="44" t="n">
        <v>0</v>
      </c>
      <c r="D44" s="44">
        <f>D43</f>
        <v/>
      </c>
      <c r="E44" s="44">
        <f>E43-D43</f>
        <v/>
      </c>
      <c r="F44" s="44">
        <f>F43-E43</f>
        <v/>
      </c>
      <c r="G44" s="44">
        <f>G43-F43</f>
        <v/>
      </c>
      <c r="H44" s="44">
        <f>H43-G43</f>
        <v/>
      </c>
      <c r="I44" s="44">
        <f>I43-H43</f>
        <v/>
      </c>
      <c r="J44" s="44">
        <f>J43-I43</f>
        <v/>
      </c>
      <c r="K44" s="44">
        <f>K43-J43</f>
        <v/>
      </c>
      <c r="L44" s="44">
        <f>L43-K43</f>
        <v/>
      </c>
      <c r="M44" s="44">
        <f>M43-L43</f>
        <v/>
      </c>
    </row>
    <row r="45">
      <c r="B45" s="45" t="inlineStr">
        <is>
          <t>التدفق النقدي الحر</t>
        </is>
      </c>
      <c r="C45" s="46">
        <f>-'CAPEX'!$C$44</f>
        <v/>
      </c>
      <c r="D45" s="46">
        <f>D39-D42-D44</f>
        <v/>
      </c>
      <c r="E45" s="46">
        <f>E39-E42-E44</f>
        <v/>
      </c>
      <c r="F45" s="46">
        <f>F39-F42-F44</f>
        <v/>
      </c>
      <c r="G45" s="46">
        <f>G39-G42-G44</f>
        <v/>
      </c>
      <c r="H45" s="46">
        <f>H39-H42-H44</f>
        <v/>
      </c>
      <c r="I45" s="46">
        <f>I39-I42-I44</f>
        <v/>
      </c>
      <c r="J45" s="46">
        <f>J39-J42-J44</f>
        <v/>
      </c>
      <c r="K45" s="46">
        <f>K39-K42-K44</f>
        <v/>
      </c>
      <c r="L45" s="46">
        <f>L39-L42-L44</f>
        <v/>
      </c>
      <c r="M45" s="46">
        <f>M39-M42-M44+M43+'CAPEX'!$C$49</f>
        <v/>
      </c>
    </row>
    <row r="46">
      <c r="B46" s="45" t="inlineStr">
        <is>
          <t>التدفق النقدي التراكمي</t>
        </is>
      </c>
      <c r="C46" s="46">
        <f>C45</f>
        <v/>
      </c>
      <c r="D46" s="46">
        <f>C46+D45</f>
        <v/>
      </c>
      <c r="E46" s="46">
        <f>D46+E45</f>
        <v/>
      </c>
      <c r="F46" s="46">
        <f>E46+F45</f>
        <v/>
      </c>
      <c r="G46" s="46">
        <f>F46+G45</f>
        <v/>
      </c>
      <c r="H46" s="46">
        <f>G46+H45</f>
        <v/>
      </c>
      <c r="I46" s="46">
        <f>H46+I45</f>
        <v/>
      </c>
      <c r="J46" s="46">
        <f>I46+J45</f>
        <v/>
      </c>
      <c r="K46" s="46">
        <f>J46+K45</f>
        <v/>
      </c>
      <c r="L46" s="46">
        <f>K46+L45</f>
        <v/>
      </c>
      <c r="M46" s="46">
        <f>L46+M45</f>
        <v/>
      </c>
    </row>
    <row r="47">
      <c r="B47" s="57" t="inlineStr">
        <is>
          <t>معدل الخصم للسيناريو</t>
        </is>
      </c>
      <c r="C47" s="76">
        <f>الافتراضات!$D$28</f>
        <v/>
      </c>
    </row>
    <row r="48">
      <c r="B48" s="57" t="inlineStr">
        <is>
          <t>NPV — 10 سنوات</t>
        </is>
      </c>
      <c r="C48" s="46">
        <f>NPV(الافتراضات!$D$28,D45:M45)+C45</f>
        <v/>
      </c>
    </row>
    <row r="49">
      <c r="B49" s="57" t="inlineStr">
        <is>
          <t>IRR — 10 سنوات</t>
        </is>
      </c>
      <c r="C49" s="52">
        <f>IFERROR(IRR(C45:M45),0)</f>
        <v/>
      </c>
    </row>
    <row r="50">
      <c r="B50" s="57" t="inlineStr">
        <is>
          <t>EBITDA (سنة 1)</t>
        </is>
      </c>
      <c r="C50" s="77">
        <f>D39</f>
        <v/>
      </c>
    </row>
    <row r="51">
      <c r="B51" s="57" t="inlineStr">
        <is>
          <t>صافي الربح (سنة 1)</t>
        </is>
      </c>
      <c r="C51" s="77">
        <f>D41</f>
        <v/>
      </c>
    </row>
    <row r="52">
      <c r="B52" s="57" t="inlineStr">
        <is>
          <t>إجمالي الاستثمار (CAPEX + رأس مال عامل)</t>
        </is>
      </c>
      <c r="C52" s="77">
        <f>'CAPEX'!$C$44+D43</f>
        <v/>
      </c>
    </row>
    <row r="53">
      <c r="B53" s="57" t="inlineStr">
        <is>
          <t>الحكم على السيناريو</t>
        </is>
      </c>
      <c r="C53" s="78">
        <f>IF(C48&gt;0,"مقبول عند معدل الخصم هذا","مرفوض — لا يحقق العائد المطلوب")</f>
        <v/>
      </c>
    </row>
    <row r="57" ht="21" customHeight="1">
      <c r="B57" s="27" t="inlineStr">
        <is>
          <t>السيناريو المتفائل (Optimistic)</t>
        </is>
      </c>
      <c r="C57" s="28" t="n"/>
      <c r="D57" s="28" t="n"/>
      <c r="E57" s="28" t="n"/>
      <c r="F57" s="28" t="n"/>
      <c r="G57" s="28" t="n"/>
      <c r="H57" s="28" t="n"/>
      <c r="I57" s="28" t="n"/>
      <c r="J57" s="28" t="n"/>
      <c r="K57" s="28" t="n"/>
      <c r="L57" s="28" t="n"/>
      <c r="M57" s="28" t="n"/>
    </row>
    <row r="58">
      <c r="B58" s="34" t="inlineStr">
        <is>
          <t>السنة</t>
        </is>
      </c>
      <c r="C58" s="68" t="n">
        <v>0</v>
      </c>
      <c r="D58" s="68" t="n">
        <v>1</v>
      </c>
      <c r="E58" s="68" t="n">
        <v>2</v>
      </c>
      <c r="F58" s="68" t="n">
        <v>3</v>
      </c>
      <c r="G58" s="68" t="n">
        <v>4</v>
      </c>
      <c r="H58" s="68" t="n">
        <v>5</v>
      </c>
      <c r="I58" s="68" t="n">
        <v>6</v>
      </c>
      <c r="J58" s="68" t="n">
        <v>7</v>
      </c>
      <c r="K58" s="68" t="n">
        <v>8</v>
      </c>
      <c r="L58" s="68" t="n">
        <v>9</v>
      </c>
      <c r="M58" s="68" t="n">
        <v>10</v>
      </c>
    </row>
    <row r="59">
      <c r="B59" s="22" t="inlineStr">
        <is>
          <t>إيراد الأرز</t>
        </is>
      </c>
      <c r="C59" s="44" t="n">
        <v>0</v>
      </c>
      <c r="D59" s="44">
        <f>((('الافتراضات'!$C$9*الافتراضات!$E$27)*'الافتراضات'!$C$51)*'الافتراضات'!$C$33*الافتراضات!$E$25)*12*POWER((1+الافتراضات!$E$21),0)</f>
        <v/>
      </c>
      <c r="E59" s="44">
        <f>((('الافتراضات'!$C$9*الافتراضات!$E$27)*'الافتراضات'!$C$51)*'الافتراضات'!$C$33*الافتراضات!$E$25)*12*POWER((1+الافتراضات!$E$21),1)</f>
        <v/>
      </c>
      <c r="F59" s="44">
        <f>((('الافتراضات'!$C$9*الافتراضات!$E$27)*'الافتراضات'!$C$51)*'الافتراضات'!$C$33*الافتراضات!$E$25)*12*POWER((1+الافتراضات!$E$21),2)</f>
        <v/>
      </c>
      <c r="G59" s="44">
        <f>((('الافتراضات'!$C$9*الافتراضات!$E$27)*'الافتراضات'!$C$51)*'الافتراضات'!$C$33*الافتراضات!$E$25)*12*POWER((1+الافتراضات!$E$21),3)</f>
        <v/>
      </c>
      <c r="H59" s="44">
        <f>((('الافتراضات'!$C$9*الافتراضات!$E$27)*'الافتراضات'!$C$51)*'الافتراضات'!$C$33*الافتراضات!$E$25)*12*POWER((1+الافتراضات!$E$21),4)</f>
        <v/>
      </c>
      <c r="I59" s="44">
        <f>((('الافتراضات'!$C$9*الافتراضات!$E$27)*'الافتراضات'!$C$51)*'الافتراضات'!$C$33*الافتراضات!$E$25)*12*POWER((1+الافتراضات!$E$21),5)</f>
        <v/>
      </c>
      <c r="J59" s="44">
        <f>((('الافتراضات'!$C$9*الافتراضات!$E$27)*'الافتراضات'!$C$51)*'الافتراضات'!$C$33*الافتراضات!$E$25)*12*POWER((1+الافتراضات!$E$21),6)</f>
        <v/>
      </c>
      <c r="K59" s="44">
        <f>((('الافتراضات'!$C$9*الافتراضات!$E$27)*'الافتراضات'!$C$51)*'الافتراضات'!$C$33*الافتراضات!$E$25)*12*POWER((1+الافتراضات!$E$21),7)</f>
        <v/>
      </c>
      <c r="L59" s="44">
        <f>((('الافتراضات'!$C$9*الافتراضات!$E$27)*'الافتراضات'!$C$51)*'الافتراضات'!$C$33*الافتراضات!$E$25)*12*POWER((1+الافتراضات!$E$21),8)</f>
        <v/>
      </c>
      <c r="M59" s="44">
        <f>((('الافتراضات'!$C$9*الافتراضات!$E$27)*'الافتراضات'!$C$51)*'الافتراضات'!$C$33*الافتراضات!$E$25)*12*POWER((1+الافتراضات!$E$21),9)</f>
        <v/>
      </c>
    </row>
    <row r="60">
      <c r="B60" s="22" t="inlineStr">
        <is>
          <t>إيراد العلف</t>
        </is>
      </c>
      <c r="C60" s="44" t="n">
        <v>0</v>
      </c>
      <c r="D60" s="44">
        <f>((((('الافتراضات'!$C$9*الافتراضات!$E$27)*'الافتراضات'!$C$53)+(('الافتراضات'!$C$9*الافتراضات!$E$27)*'الافتراضات'!$C$52))/('الافتراضات'!$C$60+'الافتراضات'!$C$61))*'الافتراضات'!$C$34*الافتراضات!$E$26)*12*POWER((1+الافتراضات!$E$21),0)</f>
        <v/>
      </c>
      <c r="E60" s="44">
        <f>((((('الافتراضات'!$C$9*الافتراضات!$E$27)*'الافتراضات'!$C$53)+(('الافتراضات'!$C$9*الافتراضات!$E$27)*'الافتراضات'!$C$52))/('الافتراضات'!$C$60+'الافتراضات'!$C$61))*'الافتراضات'!$C$34*الافتراضات!$E$26)*12*POWER((1+الافتراضات!$E$21),1)</f>
        <v/>
      </c>
      <c r="F60" s="44">
        <f>((((('الافتراضات'!$C$9*الافتراضات!$E$27)*'الافتراضات'!$C$53)+(('الافتراضات'!$C$9*الافتراضات!$E$27)*'الافتراضات'!$C$52))/('الافتراضات'!$C$60+'الافتراضات'!$C$61))*'الافتراضات'!$C$34*الافتراضات!$E$26)*12*POWER((1+الافتراضات!$E$21),2)</f>
        <v/>
      </c>
      <c r="G60" s="44">
        <f>((((('الافتراضات'!$C$9*الافتراضات!$E$27)*'الافتراضات'!$C$53)+(('الافتراضات'!$C$9*الافتراضات!$E$27)*'الافتراضات'!$C$52))/('الافتراضات'!$C$60+'الافتراضات'!$C$61))*'الافتراضات'!$C$34*الافتراضات!$E$26)*12*POWER((1+الافتراضات!$E$21),3)</f>
        <v/>
      </c>
      <c r="H60" s="44">
        <f>((((('الافتراضات'!$C$9*الافتراضات!$E$27)*'الافتراضات'!$C$53)+(('الافتراضات'!$C$9*الافتراضات!$E$27)*'الافتراضات'!$C$52))/('الافتراضات'!$C$60+'الافتراضات'!$C$61))*'الافتراضات'!$C$34*الافتراضات!$E$26)*12*POWER((1+الافتراضات!$E$21),4)</f>
        <v/>
      </c>
      <c r="I60" s="44">
        <f>((((('الافتراضات'!$C$9*الافتراضات!$E$27)*'الافتراضات'!$C$53)+(('الافتراضات'!$C$9*الافتراضات!$E$27)*'الافتراضات'!$C$52))/('الافتراضات'!$C$60+'الافتراضات'!$C$61))*'الافتراضات'!$C$34*الافتراضات!$E$26)*12*POWER((1+الافتراضات!$E$21),5)</f>
        <v/>
      </c>
      <c r="J60" s="44">
        <f>((((('الافتراضات'!$C$9*الافتراضات!$E$27)*'الافتراضات'!$C$53)+(('الافتراضات'!$C$9*الافتراضات!$E$27)*'الافتراضات'!$C$52))/('الافتراضات'!$C$60+'الافتراضات'!$C$61))*'الافتراضات'!$C$34*الافتراضات!$E$26)*12*POWER((1+الافتراضات!$E$21),6)</f>
        <v/>
      </c>
      <c r="K60" s="44">
        <f>((((('الافتراضات'!$C$9*الافتراضات!$E$27)*'الافتراضات'!$C$53)+(('الافتراضات'!$C$9*الافتراضات!$E$27)*'الافتراضات'!$C$52))/('الافتراضات'!$C$60+'الافتراضات'!$C$61))*'الافتراضات'!$C$34*الافتراضات!$E$26)*12*POWER((1+الافتراضات!$E$21),7)</f>
        <v/>
      </c>
      <c r="L60" s="44">
        <f>((((('الافتراضات'!$C$9*الافتراضات!$E$27)*'الافتراضات'!$C$53)+(('الافتراضات'!$C$9*الافتراضات!$E$27)*'الافتراضات'!$C$52))/('الافتراضات'!$C$60+'الافتراضات'!$C$61))*'الافتراضات'!$C$34*الافتراضات!$E$26)*12*POWER((1+الافتراضات!$E$21),8)</f>
        <v/>
      </c>
      <c r="M60" s="44">
        <f>((((('الافتراضات'!$C$9*الافتراضات!$E$27)*'الافتراضات'!$C$53)+(('الافتراضات'!$C$9*الافتراضات!$E$27)*'الافتراضات'!$C$52))/('الافتراضات'!$C$60+'الافتراضات'!$C$61))*'الافتراضات'!$C$34*الافتراضات!$E$26)*12*POWER((1+الافتراضات!$E$21),9)</f>
        <v/>
      </c>
    </row>
    <row r="61">
      <c r="B61" s="22" t="inlineStr">
        <is>
          <t>قيمة السرس</t>
        </is>
      </c>
      <c r="C61" s="44" t="n">
        <v>0</v>
      </c>
      <c r="D61" s="44">
        <f>((('الافتراضات'!$C$9*الافتراضات!$E$27)*'الافتراضات'!$C$54)*'الافتراضات'!$C$35)*12*POWER((1+الافتراضات!$E$21),0)</f>
        <v/>
      </c>
      <c r="E61" s="44">
        <f>((('الافتراضات'!$C$9*الافتراضات!$E$27)*'الافتراضات'!$C$54)*'الافتراضات'!$C$35)*12*POWER((1+الافتراضات!$E$21),1)</f>
        <v/>
      </c>
      <c r="F61" s="44">
        <f>((('الافتراضات'!$C$9*الافتراضات!$E$27)*'الافتراضات'!$C$54)*'الافتراضات'!$C$35)*12*POWER((1+الافتراضات!$E$21),2)</f>
        <v/>
      </c>
      <c r="G61" s="44">
        <f>((('الافتراضات'!$C$9*الافتراضات!$E$27)*'الافتراضات'!$C$54)*'الافتراضات'!$C$35)*12*POWER((1+الافتراضات!$E$21),3)</f>
        <v/>
      </c>
      <c r="H61" s="44">
        <f>((('الافتراضات'!$C$9*الافتراضات!$E$27)*'الافتراضات'!$C$54)*'الافتراضات'!$C$35)*12*POWER((1+الافتراضات!$E$21),4)</f>
        <v/>
      </c>
      <c r="I61" s="44">
        <f>((('الافتراضات'!$C$9*الافتراضات!$E$27)*'الافتراضات'!$C$54)*'الافتراضات'!$C$35)*12*POWER((1+الافتراضات!$E$21),5)</f>
        <v/>
      </c>
      <c r="J61" s="44">
        <f>((('الافتراضات'!$C$9*الافتراضات!$E$27)*'الافتراضات'!$C$54)*'الافتراضات'!$C$35)*12*POWER((1+الافتراضات!$E$21),6)</f>
        <v/>
      </c>
      <c r="K61" s="44">
        <f>((('الافتراضات'!$C$9*الافتراضات!$E$27)*'الافتراضات'!$C$54)*'الافتراضات'!$C$35)*12*POWER((1+الافتراضات!$E$21),7)</f>
        <v/>
      </c>
      <c r="L61" s="44">
        <f>((('الافتراضات'!$C$9*الافتراضات!$E$27)*'الافتراضات'!$C$54)*'الافتراضات'!$C$35)*12*POWER((1+الافتراضات!$E$21),8)</f>
        <v/>
      </c>
      <c r="M61" s="44">
        <f>((('الافتراضات'!$C$9*الافتراضات!$E$27)*'الافتراضات'!$C$54)*'الافتراضات'!$C$35)*12*POWER((1+الافتراضات!$E$21),9)</f>
        <v/>
      </c>
    </row>
    <row r="62">
      <c r="B62" s="34" t="inlineStr">
        <is>
          <t>إجمالي الإيرادات</t>
        </is>
      </c>
      <c r="C62" s="35" t="n">
        <v>0</v>
      </c>
      <c r="D62" s="35">
        <f>SUM(D59:D61)</f>
        <v/>
      </c>
      <c r="E62" s="35">
        <f>SUM(E59:E61)</f>
        <v/>
      </c>
      <c r="F62" s="35">
        <f>SUM(F59:F61)</f>
        <v/>
      </c>
      <c r="G62" s="35">
        <f>SUM(G59:G61)</f>
        <v/>
      </c>
      <c r="H62" s="35">
        <f>SUM(H59:H61)</f>
        <v/>
      </c>
      <c r="I62" s="35">
        <f>SUM(I59:I61)</f>
        <v/>
      </c>
      <c r="J62" s="35">
        <f>SUM(J59:J61)</f>
        <v/>
      </c>
      <c r="K62" s="35">
        <f>SUM(K59:K61)</f>
        <v/>
      </c>
      <c r="L62" s="35">
        <f>SUM(L59:L61)</f>
        <v/>
      </c>
      <c r="M62" s="35">
        <f>SUM(M59:M61)</f>
        <v/>
      </c>
    </row>
    <row r="63">
      <c r="B63" s="22" t="inlineStr">
        <is>
          <t>إجمالي التكاليف المتغيرة</t>
        </is>
      </c>
      <c r="C63" s="44" t="n">
        <v>0</v>
      </c>
      <c r="D63" s="44">
        <f>(('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0)</f>
        <v/>
      </c>
      <c r="E63" s="44">
        <f>(('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1)</f>
        <v/>
      </c>
      <c r="F63" s="44">
        <f>(('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2)</f>
        <v/>
      </c>
      <c r="G63" s="44">
        <f>(('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3)</f>
        <v/>
      </c>
      <c r="H63" s="44">
        <f>(('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4)</f>
        <v/>
      </c>
      <c r="I63" s="44">
        <f>(('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5)</f>
        <v/>
      </c>
      <c r="J63" s="44">
        <f>(('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6)</f>
        <v/>
      </c>
      <c r="K63" s="44">
        <f>(('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7)</f>
        <v/>
      </c>
      <c r="L63" s="44">
        <f>(('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8)</f>
        <v/>
      </c>
      <c r="M63" s="44">
        <f>(('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9)</f>
        <v/>
      </c>
    </row>
    <row r="64">
      <c r="B64" s="22" t="inlineStr">
        <is>
          <t>التكاليف الثابتة</t>
        </is>
      </c>
      <c r="C64" s="44" t="n">
        <v>0</v>
      </c>
      <c r="D64" s="44">
        <f>'الافتراضات'!$C$104*12*POWER((1+الافتراضات!$E$23),0)</f>
        <v/>
      </c>
      <c r="E64" s="44">
        <f>'الافتراضات'!$C$104*12*POWER((1+الافتراضات!$E$23),1)</f>
        <v/>
      </c>
      <c r="F64" s="44">
        <f>'الافتراضات'!$C$104*12*POWER((1+الافتراضات!$E$23),2)</f>
        <v/>
      </c>
      <c r="G64" s="44">
        <f>'الافتراضات'!$C$104*12*POWER((1+الافتراضات!$E$23),3)</f>
        <v/>
      </c>
      <c r="H64" s="44">
        <f>'الافتراضات'!$C$104*12*POWER((1+الافتراضات!$E$23),4)</f>
        <v/>
      </c>
      <c r="I64" s="44">
        <f>'الافتراضات'!$C$104*12*POWER((1+الافتراضات!$E$23),5)</f>
        <v/>
      </c>
      <c r="J64" s="44">
        <f>'الافتراضات'!$C$104*12*POWER((1+الافتراضات!$E$23),6)</f>
        <v/>
      </c>
      <c r="K64" s="44">
        <f>'الافتراضات'!$C$104*12*POWER((1+الافتراضات!$E$23),7)</f>
        <v/>
      </c>
      <c r="L64" s="44">
        <f>'الافتراضات'!$C$104*12*POWER((1+الافتراضات!$E$23),8)</f>
        <v/>
      </c>
      <c r="M64" s="44">
        <f>'الافتراضات'!$C$104*12*POWER((1+الافتراضات!$E$23),9)</f>
        <v/>
      </c>
    </row>
    <row r="65">
      <c r="B65" s="34" t="inlineStr">
        <is>
          <t>EBITDA</t>
        </is>
      </c>
      <c r="C65" s="35" t="n">
        <v>0</v>
      </c>
      <c r="D65" s="35">
        <f>D62-D63-D64</f>
        <v/>
      </c>
      <c r="E65" s="35">
        <f>E62-E63-E64</f>
        <v/>
      </c>
      <c r="F65" s="35">
        <f>F62-F63-F64</f>
        <v/>
      </c>
      <c r="G65" s="35">
        <f>G62-G63-G64</f>
        <v/>
      </c>
      <c r="H65" s="35">
        <f>H62-H63-H64</f>
        <v/>
      </c>
      <c r="I65" s="35">
        <f>I62-I63-I64</f>
        <v/>
      </c>
      <c r="J65" s="35">
        <f>J62-J63-J64</f>
        <v/>
      </c>
      <c r="K65" s="35">
        <f>K62-K63-K64</f>
        <v/>
      </c>
      <c r="L65" s="35">
        <f>L62-L63-L64</f>
        <v/>
      </c>
      <c r="M65" s="35">
        <f>M62-M63-M64</f>
        <v/>
      </c>
    </row>
    <row r="66">
      <c r="B66" s="22" t="inlineStr">
        <is>
          <t>الاهتلاك والإطفاء</t>
        </is>
      </c>
      <c r="C66" s="44" t="n">
        <v>0</v>
      </c>
      <c r="D66" s="44">
        <f>'CAPEX'!$C$50</f>
        <v/>
      </c>
      <c r="E66" s="44">
        <f>'CAPEX'!$C$50</f>
        <v/>
      </c>
      <c r="F66" s="44">
        <f>'CAPEX'!$C$50</f>
        <v/>
      </c>
      <c r="G66" s="44">
        <f>'CAPEX'!$C$50</f>
        <v/>
      </c>
      <c r="H66" s="44">
        <f>'CAPEX'!$C$50</f>
        <v/>
      </c>
      <c r="I66" s="44">
        <f>'CAPEX'!$C$50</f>
        <v/>
      </c>
      <c r="J66" s="44">
        <f>'CAPEX'!$C$50</f>
        <v/>
      </c>
      <c r="K66" s="44">
        <f>'CAPEX'!$C$50</f>
        <v/>
      </c>
      <c r="L66" s="44">
        <f>'CAPEX'!$C$50</f>
        <v/>
      </c>
      <c r="M66" s="44">
        <f>'CAPEX'!$C$50</f>
        <v/>
      </c>
    </row>
    <row r="67">
      <c r="B67" s="22" t="inlineStr">
        <is>
          <t>صافي الربح بعد الضريبة</t>
        </is>
      </c>
      <c r="C67" s="44" t="n">
        <v>0</v>
      </c>
      <c r="D67" s="44">
        <f>D65-D66-MAX(0,D65-D66)*'الافتراضات'!$C$11</f>
        <v/>
      </c>
      <c r="E67" s="44">
        <f>E65-E66-MAX(0,E65-E66)*'الافتراضات'!$C$11</f>
        <v/>
      </c>
      <c r="F67" s="44">
        <f>F65-F66-MAX(0,F65-F66)*'الافتراضات'!$C$11</f>
        <v/>
      </c>
      <c r="G67" s="44">
        <f>G65-G66-MAX(0,G65-G66)*'الافتراضات'!$C$11</f>
        <v/>
      </c>
      <c r="H67" s="44">
        <f>H65-H66-MAX(0,H65-H66)*'الافتراضات'!$C$11</f>
        <v/>
      </c>
      <c r="I67" s="44">
        <f>I65-I66-MAX(0,I65-I66)*'الافتراضات'!$C$11</f>
        <v/>
      </c>
      <c r="J67" s="44">
        <f>J65-J66-MAX(0,J65-J66)*'الافتراضات'!$C$11</f>
        <v/>
      </c>
      <c r="K67" s="44">
        <f>K65-K66-MAX(0,K65-K66)*'الافتراضات'!$C$11</f>
        <v/>
      </c>
      <c r="L67" s="44">
        <f>L65-L66-MAX(0,L65-L66)*'الافتراضات'!$C$11</f>
        <v/>
      </c>
      <c r="M67" s="44">
        <f>M65-M66-MAX(0,M65-M66)*'الافتراضات'!$C$11</f>
        <v/>
      </c>
    </row>
    <row r="68">
      <c r="B68" s="22" t="inlineStr">
        <is>
          <t>الضريبة</t>
        </is>
      </c>
      <c r="C68" s="44" t="n">
        <v>0</v>
      </c>
      <c r="D68" s="44">
        <f>MAX(0,D65-D66)*'الافتراضات'!$C$11</f>
        <v/>
      </c>
      <c r="E68" s="44">
        <f>MAX(0,E65-E66)*'الافتراضات'!$C$11</f>
        <v/>
      </c>
      <c r="F68" s="44">
        <f>MAX(0,F65-F66)*'الافتراضات'!$C$11</f>
        <v/>
      </c>
      <c r="G68" s="44">
        <f>MAX(0,G65-G66)*'الافتراضات'!$C$11</f>
        <v/>
      </c>
      <c r="H68" s="44">
        <f>MAX(0,H65-H66)*'الافتراضات'!$C$11</f>
        <v/>
      </c>
      <c r="I68" s="44">
        <f>MAX(0,I65-I66)*'الافتراضات'!$C$11</f>
        <v/>
      </c>
      <c r="J68" s="44">
        <f>MAX(0,J65-J66)*'الافتراضات'!$C$11</f>
        <v/>
      </c>
      <c r="K68" s="44">
        <f>MAX(0,K65-K66)*'الافتراضات'!$C$11</f>
        <v/>
      </c>
      <c r="L68" s="44">
        <f>MAX(0,L65-L66)*'الافتراضات'!$C$11</f>
        <v/>
      </c>
      <c r="M68" s="44">
        <f>MAX(0,M65-M66)*'الافتراضات'!$C$11</f>
        <v/>
      </c>
    </row>
    <row r="69">
      <c r="B69" s="22" t="inlineStr">
        <is>
          <t>رصيد رأس المال العامل</t>
        </is>
      </c>
      <c r="C69" s="44" t="n">
        <v>0</v>
      </c>
      <c r="D69" s="44">
        <f>(('الافتراضات'!$C$74/365)*(('الافتراضات'!$C$9*الافتراضات!$E$27)*12)*'الافتراضات'!$C$32*الافتراضات!$E$24*POWER((1+الافتراضات!$E$22),1-1)+('الافتراضات'!$C$75/365)*(((('الافتراضات'!$C$9*الافتراضات!$E$27)*'الافتراضات'!$C$51)*'الافتراضات'!$C$33*الافتراضات!$E$25)*12)*POWER((1+الافتراضات!$E$21),1-1)+('الافتراضات'!$C$76/365)*(((((('الافتراضات'!$C$9*الافتراضات!$E$27)*'الافتراضات'!$C$53)+(('الافتراضات'!$C$9*الافتراضات!$E$27)*'الافتراضات'!$C$52))/('الافتراضات'!$C$60+'الافتراضات'!$C$61))*'الافتراضات'!$C$34*الافتراضات!$E$26)*12)*POWER((1+الافتراضات!$E$21),1-1)+('الافتراضات'!$C$73/365)*((((('الافتراضات'!$C$9*الافتراضات!$E$27)*'الافتراضات'!$C$51)*'الافتراضات'!$C$33*الافتراضات!$E$25)+((((('الافتراضات'!$C$9*الافتراضات!$E$27)*'الافتراضات'!$C$53)+(('الافتراضات'!$C$9*الافتراضات!$E$27)*'الافتراضات'!$C$52))/('الافتراضات'!$C$60+'الافتراضات'!$C$61))*'الافتراضات'!$C$34*الافتراضات!$E$26)+((('الافتراضات'!$C$9*الافتراضات!$E$27)*'الافتراضات'!$C$54)*'الافتراضات'!$C$35))*12)*POWER((1+الافتراضات!$E$21),1-1)*(1-'الافتراضات'!$C$72)-('الافتراضات'!$C$77/365)*((('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1-1)+'الافتراضات'!$C$78)</f>
        <v/>
      </c>
      <c r="E69" s="44">
        <f>(('الافتراضات'!$C$74/365)*(('الافتراضات'!$C$9*الافتراضات!$E$27)*12)*'الافتراضات'!$C$32*الافتراضات!$E$24*POWER((1+الافتراضات!$E$22),2-1)+('الافتراضات'!$C$75/365)*(((('الافتراضات'!$C$9*الافتراضات!$E$27)*'الافتراضات'!$C$51)*'الافتراضات'!$C$33*الافتراضات!$E$25)*12)*POWER((1+الافتراضات!$E$21),2-1)+('الافتراضات'!$C$76/365)*(((((('الافتراضات'!$C$9*الافتراضات!$E$27)*'الافتراضات'!$C$53)+(('الافتراضات'!$C$9*الافتراضات!$E$27)*'الافتراضات'!$C$52))/('الافتراضات'!$C$60+'الافتراضات'!$C$61))*'الافتراضات'!$C$34*الافتراضات!$E$26)*12)*POWER((1+الافتراضات!$E$21),2-1)+('الافتراضات'!$C$73/365)*((((('الافتراضات'!$C$9*الافتراضات!$E$27)*'الافتراضات'!$C$51)*'الافتراضات'!$C$33*الافتراضات!$E$25)+((((('الافتراضات'!$C$9*الافتراضات!$E$27)*'الافتراضات'!$C$53)+(('الافتراضات'!$C$9*الافتراضات!$E$27)*'الافتراضات'!$C$52))/('الافتراضات'!$C$60+'الافتراضات'!$C$61))*'الافتراضات'!$C$34*الافتراضات!$E$26)+((('الافتراضات'!$C$9*الافتراضات!$E$27)*'الافتراضات'!$C$54)*'الافتراضات'!$C$35))*12)*POWER((1+الافتراضات!$E$21),2-1)*(1-'الافتراضات'!$C$72)-('الافتراضات'!$C$77/365)*((('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2-1)+'الافتراضات'!$C$78)</f>
        <v/>
      </c>
      <c r="F69" s="44">
        <f>(('الافتراضات'!$C$74/365)*(('الافتراضات'!$C$9*الافتراضات!$E$27)*12)*'الافتراضات'!$C$32*الافتراضات!$E$24*POWER((1+الافتراضات!$E$22),3-1)+('الافتراضات'!$C$75/365)*(((('الافتراضات'!$C$9*الافتراضات!$E$27)*'الافتراضات'!$C$51)*'الافتراضات'!$C$33*الافتراضات!$E$25)*12)*POWER((1+الافتراضات!$E$21),3-1)+('الافتراضات'!$C$76/365)*(((((('الافتراضات'!$C$9*الافتراضات!$E$27)*'الافتراضات'!$C$53)+(('الافتراضات'!$C$9*الافتراضات!$E$27)*'الافتراضات'!$C$52))/('الافتراضات'!$C$60+'الافتراضات'!$C$61))*'الافتراضات'!$C$34*الافتراضات!$E$26)*12)*POWER((1+الافتراضات!$E$21),3-1)+('الافتراضات'!$C$73/365)*((((('الافتراضات'!$C$9*الافتراضات!$E$27)*'الافتراضات'!$C$51)*'الافتراضات'!$C$33*الافتراضات!$E$25)+((((('الافتراضات'!$C$9*الافتراضات!$E$27)*'الافتراضات'!$C$53)+(('الافتراضات'!$C$9*الافتراضات!$E$27)*'الافتراضات'!$C$52))/('الافتراضات'!$C$60+'الافتراضات'!$C$61))*'الافتراضات'!$C$34*الافتراضات!$E$26)+((('الافتراضات'!$C$9*الافتراضات!$E$27)*'الافتراضات'!$C$54)*'الافتراضات'!$C$35))*12)*POWER((1+الافتراضات!$E$21),3-1)*(1-'الافتراضات'!$C$72)-('الافتراضات'!$C$77/365)*((('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3-1)+'الافتراضات'!$C$78)</f>
        <v/>
      </c>
      <c r="G69" s="44">
        <f>(('الافتراضات'!$C$74/365)*(('الافتراضات'!$C$9*الافتراضات!$E$27)*12)*'الافتراضات'!$C$32*الافتراضات!$E$24*POWER((1+الافتراضات!$E$22),4-1)+('الافتراضات'!$C$75/365)*(((('الافتراضات'!$C$9*الافتراضات!$E$27)*'الافتراضات'!$C$51)*'الافتراضات'!$C$33*الافتراضات!$E$25)*12)*POWER((1+الافتراضات!$E$21),4-1)+('الافتراضات'!$C$76/365)*(((((('الافتراضات'!$C$9*الافتراضات!$E$27)*'الافتراضات'!$C$53)+(('الافتراضات'!$C$9*الافتراضات!$E$27)*'الافتراضات'!$C$52))/('الافتراضات'!$C$60+'الافتراضات'!$C$61))*'الافتراضات'!$C$34*الافتراضات!$E$26)*12)*POWER((1+الافتراضات!$E$21),4-1)+('الافتراضات'!$C$73/365)*((((('الافتراضات'!$C$9*الافتراضات!$E$27)*'الافتراضات'!$C$51)*'الافتراضات'!$C$33*الافتراضات!$E$25)+((((('الافتراضات'!$C$9*الافتراضات!$E$27)*'الافتراضات'!$C$53)+(('الافتراضات'!$C$9*الافتراضات!$E$27)*'الافتراضات'!$C$52))/('الافتراضات'!$C$60+'الافتراضات'!$C$61))*'الافتراضات'!$C$34*الافتراضات!$E$26)+((('الافتراضات'!$C$9*الافتراضات!$E$27)*'الافتراضات'!$C$54)*'الافتراضات'!$C$35))*12)*POWER((1+الافتراضات!$E$21),4-1)*(1-'الافتراضات'!$C$72)-('الافتراضات'!$C$77/365)*((('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4-1)+'الافتراضات'!$C$78)</f>
        <v/>
      </c>
      <c r="H69" s="44">
        <f>(('الافتراضات'!$C$74/365)*(('الافتراضات'!$C$9*الافتراضات!$E$27)*12)*'الافتراضات'!$C$32*الافتراضات!$E$24*POWER((1+الافتراضات!$E$22),5-1)+('الافتراضات'!$C$75/365)*(((('الافتراضات'!$C$9*الافتراضات!$E$27)*'الافتراضات'!$C$51)*'الافتراضات'!$C$33*الافتراضات!$E$25)*12)*POWER((1+الافتراضات!$E$21),5-1)+('الافتراضات'!$C$76/365)*(((((('الافتراضات'!$C$9*الافتراضات!$E$27)*'الافتراضات'!$C$53)+(('الافتراضات'!$C$9*الافتراضات!$E$27)*'الافتراضات'!$C$52))/('الافتراضات'!$C$60+'الافتراضات'!$C$61))*'الافتراضات'!$C$34*الافتراضات!$E$26)*12)*POWER((1+الافتراضات!$E$21),5-1)+('الافتراضات'!$C$73/365)*((((('الافتراضات'!$C$9*الافتراضات!$E$27)*'الافتراضات'!$C$51)*'الافتراضات'!$C$33*الافتراضات!$E$25)+((((('الافتراضات'!$C$9*الافتراضات!$E$27)*'الافتراضات'!$C$53)+(('الافتراضات'!$C$9*الافتراضات!$E$27)*'الافتراضات'!$C$52))/('الافتراضات'!$C$60+'الافتراضات'!$C$61))*'الافتراضات'!$C$34*الافتراضات!$E$26)+((('الافتراضات'!$C$9*الافتراضات!$E$27)*'الافتراضات'!$C$54)*'الافتراضات'!$C$35))*12)*POWER((1+الافتراضات!$E$21),5-1)*(1-'الافتراضات'!$C$72)-('الافتراضات'!$C$77/365)*((('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5-1)+'الافتراضات'!$C$78)</f>
        <v/>
      </c>
      <c r="I69" s="44">
        <f>(('الافتراضات'!$C$74/365)*(('الافتراضات'!$C$9*الافتراضات!$E$27)*12)*'الافتراضات'!$C$32*الافتراضات!$E$24*POWER((1+الافتراضات!$E$22),6-1)+('الافتراضات'!$C$75/365)*(((('الافتراضات'!$C$9*الافتراضات!$E$27)*'الافتراضات'!$C$51)*'الافتراضات'!$C$33*الافتراضات!$E$25)*12)*POWER((1+الافتراضات!$E$21),6-1)+('الافتراضات'!$C$76/365)*(((((('الافتراضات'!$C$9*الافتراضات!$E$27)*'الافتراضات'!$C$53)+(('الافتراضات'!$C$9*الافتراضات!$E$27)*'الافتراضات'!$C$52))/('الافتراضات'!$C$60+'الافتراضات'!$C$61))*'الافتراضات'!$C$34*الافتراضات!$E$26)*12)*POWER((1+الافتراضات!$E$21),6-1)+('الافتراضات'!$C$73/365)*((((('الافتراضات'!$C$9*الافتراضات!$E$27)*'الافتراضات'!$C$51)*'الافتراضات'!$C$33*الافتراضات!$E$25)+((((('الافتراضات'!$C$9*الافتراضات!$E$27)*'الافتراضات'!$C$53)+(('الافتراضات'!$C$9*الافتراضات!$E$27)*'الافتراضات'!$C$52))/('الافتراضات'!$C$60+'الافتراضات'!$C$61))*'الافتراضات'!$C$34*الافتراضات!$E$26)+((('الافتراضات'!$C$9*الافتراضات!$E$27)*'الافتراضات'!$C$54)*'الافتراضات'!$C$35))*12)*POWER((1+الافتراضات!$E$21),6-1)*(1-'الافتراضات'!$C$72)-('الافتراضات'!$C$77/365)*((('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6-1)+'الافتراضات'!$C$78)</f>
        <v/>
      </c>
      <c r="J69" s="44">
        <f>(('الافتراضات'!$C$74/365)*(('الافتراضات'!$C$9*الافتراضات!$E$27)*12)*'الافتراضات'!$C$32*الافتراضات!$E$24*POWER((1+الافتراضات!$E$22),7-1)+('الافتراضات'!$C$75/365)*(((('الافتراضات'!$C$9*الافتراضات!$E$27)*'الافتراضات'!$C$51)*'الافتراضات'!$C$33*الافتراضات!$E$25)*12)*POWER((1+الافتراضات!$E$21),7-1)+('الافتراضات'!$C$76/365)*(((((('الافتراضات'!$C$9*الافتراضات!$E$27)*'الافتراضات'!$C$53)+(('الافتراضات'!$C$9*الافتراضات!$E$27)*'الافتراضات'!$C$52))/('الافتراضات'!$C$60+'الافتراضات'!$C$61))*'الافتراضات'!$C$34*الافتراضات!$E$26)*12)*POWER((1+الافتراضات!$E$21),7-1)+('الافتراضات'!$C$73/365)*((((('الافتراضات'!$C$9*الافتراضات!$E$27)*'الافتراضات'!$C$51)*'الافتراضات'!$C$33*الافتراضات!$E$25)+((((('الافتراضات'!$C$9*الافتراضات!$E$27)*'الافتراضات'!$C$53)+(('الافتراضات'!$C$9*الافتراضات!$E$27)*'الافتراضات'!$C$52))/('الافتراضات'!$C$60+'الافتراضات'!$C$61))*'الافتراضات'!$C$34*الافتراضات!$E$26)+((('الافتراضات'!$C$9*الافتراضات!$E$27)*'الافتراضات'!$C$54)*'الافتراضات'!$C$35))*12)*POWER((1+الافتراضات!$E$21),7-1)*(1-'الافتراضات'!$C$72)-('الافتراضات'!$C$77/365)*((('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7-1)+'الافتراضات'!$C$78)</f>
        <v/>
      </c>
      <c r="K69" s="44">
        <f>(('الافتراضات'!$C$74/365)*(('الافتراضات'!$C$9*الافتراضات!$E$27)*12)*'الافتراضات'!$C$32*الافتراضات!$E$24*POWER((1+الافتراضات!$E$22),8-1)+('الافتراضات'!$C$75/365)*(((('الافتراضات'!$C$9*الافتراضات!$E$27)*'الافتراضات'!$C$51)*'الافتراضات'!$C$33*الافتراضات!$E$25)*12)*POWER((1+الافتراضات!$E$21),8-1)+('الافتراضات'!$C$76/365)*(((((('الافتراضات'!$C$9*الافتراضات!$E$27)*'الافتراضات'!$C$53)+(('الافتراضات'!$C$9*الافتراضات!$E$27)*'الافتراضات'!$C$52))/('الافتراضات'!$C$60+'الافتراضات'!$C$61))*'الافتراضات'!$C$34*الافتراضات!$E$26)*12)*POWER((1+الافتراضات!$E$21),8-1)+('الافتراضات'!$C$73/365)*((((('الافتراضات'!$C$9*الافتراضات!$E$27)*'الافتراضات'!$C$51)*'الافتراضات'!$C$33*الافتراضات!$E$25)+((((('الافتراضات'!$C$9*الافتراضات!$E$27)*'الافتراضات'!$C$53)+(('الافتراضات'!$C$9*الافتراضات!$E$27)*'الافتراضات'!$C$52))/('الافتراضات'!$C$60+'الافتراضات'!$C$61))*'الافتراضات'!$C$34*الافتراضات!$E$26)+((('الافتراضات'!$C$9*الافتراضات!$E$27)*'الافتراضات'!$C$54)*'الافتراضات'!$C$35))*12)*POWER((1+الافتراضات!$E$21),8-1)*(1-'الافتراضات'!$C$72)-('الافتراضات'!$C$77/365)*((('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8-1)+'الافتراضات'!$C$78)</f>
        <v/>
      </c>
      <c r="L69" s="44">
        <f>(('الافتراضات'!$C$74/365)*(('الافتراضات'!$C$9*الافتراضات!$E$27)*12)*'الافتراضات'!$C$32*الافتراضات!$E$24*POWER((1+الافتراضات!$E$22),9-1)+('الافتراضات'!$C$75/365)*(((('الافتراضات'!$C$9*الافتراضات!$E$27)*'الافتراضات'!$C$51)*'الافتراضات'!$C$33*الافتراضات!$E$25)*12)*POWER((1+الافتراضات!$E$21),9-1)+('الافتراضات'!$C$76/365)*(((((('الافتراضات'!$C$9*الافتراضات!$E$27)*'الافتراضات'!$C$53)+(('الافتراضات'!$C$9*الافتراضات!$E$27)*'الافتراضات'!$C$52))/('الافتراضات'!$C$60+'الافتراضات'!$C$61))*'الافتراضات'!$C$34*الافتراضات!$E$26)*12)*POWER((1+الافتراضات!$E$21),9-1)+('الافتراضات'!$C$73/365)*((((('الافتراضات'!$C$9*الافتراضات!$E$27)*'الافتراضات'!$C$51)*'الافتراضات'!$C$33*الافتراضات!$E$25)+((((('الافتراضات'!$C$9*الافتراضات!$E$27)*'الافتراضات'!$C$53)+(('الافتراضات'!$C$9*الافتراضات!$E$27)*'الافتراضات'!$C$52))/('الافتراضات'!$C$60+'الافتراضات'!$C$61))*'الافتراضات'!$C$34*الافتراضات!$E$26)+((('الافتراضات'!$C$9*الافتراضات!$E$27)*'الافتراضات'!$C$54)*'الافتراضات'!$C$35))*12)*POWER((1+الافتراضات!$E$21),9-1)*(1-'الافتراضات'!$C$72)-('الافتراضات'!$C$77/365)*((('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9-1)+'الافتراضات'!$C$78)</f>
        <v/>
      </c>
      <c r="M69" s="44">
        <f>(('الافتراضات'!$C$74/365)*(('الافتراضات'!$C$9*الافتراضات!$E$27)*12)*'الافتراضات'!$C$32*الافتراضات!$E$24*POWER((1+الافتراضات!$E$22),10-1)+('الافتراضات'!$C$75/365)*(((('الافتراضات'!$C$9*الافتراضات!$E$27)*'الافتراضات'!$C$51)*'الافتراضات'!$C$33*الافتراضات!$E$25)*12)*POWER((1+الافتراضات!$E$21),10-1)+('الافتراضات'!$C$76/365)*(((((('الافتراضات'!$C$9*الافتراضات!$E$27)*'الافتراضات'!$C$53)+(('الافتراضات'!$C$9*الافتراضات!$E$27)*'الافتراضات'!$C$52))/('الافتراضات'!$C$60+'الافتراضات'!$C$61))*'الافتراضات'!$C$34*الافتراضات!$E$26)*12)*POWER((1+الافتراضات!$E$21),10-1)+('الافتراضات'!$C$73/365)*((((('الافتراضات'!$C$9*الافتراضات!$E$27)*'الافتراضات'!$C$51)*'الافتراضات'!$C$33*الافتراضات!$E$25)+((((('الافتراضات'!$C$9*الافتراضات!$E$27)*'الافتراضات'!$C$53)+(('الافتراضات'!$C$9*الافتراضات!$E$27)*'الافتراضات'!$C$52))/('الافتراضات'!$C$60+'الافتراضات'!$C$61))*'الافتراضات'!$C$34*الافتراضات!$E$26)+((('الافتراضات'!$C$9*الافتراضات!$E$27)*'الافتراضات'!$C$54)*'الافتراضات'!$C$35))*12)*POWER((1+الافتراضات!$E$21),10-1)*(1-'الافتراضات'!$C$72)-('الافتراضات'!$C$77/365)*((('الافتراضات'!$C$9*الافتراضات!$E$27)*'الافتراضات'!$C$32*الافتراضات!$E$24+(('الافتراضات'!$C$9*الافتراضات!$E$27)*'الافتراضات'!$C$51)*'الافتراضات'!$C$44+(((('الافتراضات'!$C$9*الافتراضات!$E$27)*'الافتراضات'!$C$53)+(('الافتراضات'!$C$9*الافتراضات!$E$27)*'الافتراضات'!$C$52))/('الافتراضات'!$C$60+'الافتراضات'!$C$61))*'OPEX'!$C$18+(((('الافتراضات'!$C$9*الافتراضات!$E$27)*'الافتراضات'!$C$53)+(('الافتراضات'!$C$9*الافتراضات!$E$27)*'الافتراضات'!$C$52))/('الافتراضات'!$C$60+'الافتراضات'!$C$61))*('الافتراضات'!$C$45+'الافتراضات'!$C$46)+(('الافتراضات'!$C$9*الافتراضات!$E$27)*'الافتراضات'!$C$51)*'الافتراضات'!$C$33*الافتراضات!$E$25*'الافتراضات'!$C$47)*12)*POWER((1+الافتراضات!$E$22),10-1)+'الافتراضات'!$C$78)</f>
        <v/>
      </c>
    </row>
    <row r="70">
      <c r="B70" s="22" t="inlineStr">
        <is>
          <t>التغير في رأس المال العامل</t>
        </is>
      </c>
      <c r="C70" s="44" t="n">
        <v>0</v>
      </c>
      <c r="D70" s="44">
        <f>D69</f>
        <v/>
      </c>
      <c r="E70" s="44">
        <f>E69-D69</f>
        <v/>
      </c>
      <c r="F70" s="44">
        <f>F69-E69</f>
        <v/>
      </c>
      <c r="G70" s="44">
        <f>G69-F69</f>
        <v/>
      </c>
      <c r="H70" s="44">
        <f>H69-G69</f>
        <v/>
      </c>
      <c r="I70" s="44">
        <f>I69-H69</f>
        <v/>
      </c>
      <c r="J70" s="44">
        <f>J69-I69</f>
        <v/>
      </c>
      <c r="K70" s="44">
        <f>K69-J69</f>
        <v/>
      </c>
      <c r="L70" s="44">
        <f>L69-K69</f>
        <v/>
      </c>
      <c r="M70" s="44">
        <f>M69-L69</f>
        <v/>
      </c>
    </row>
    <row r="71">
      <c r="B71" s="45" t="inlineStr">
        <is>
          <t>التدفق النقدي الحر</t>
        </is>
      </c>
      <c r="C71" s="46">
        <f>-'CAPEX'!$C$44</f>
        <v/>
      </c>
      <c r="D71" s="46">
        <f>D65-D68-D70</f>
        <v/>
      </c>
      <c r="E71" s="46">
        <f>E65-E68-E70</f>
        <v/>
      </c>
      <c r="F71" s="46">
        <f>F65-F68-F70</f>
        <v/>
      </c>
      <c r="G71" s="46">
        <f>G65-G68-G70</f>
        <v/>
      </c>
      <c r="H71" s="46">
        <f>H65-H68-H70</f>
        <v/>
      </c>
      <c r="I71" s="46">
        <f>I65-I68-I70</f>
        <v/>
      </c>
      <c r="J71" s="46">
        <f>J65-J68-J70</f>
        <v/>
      </c>
      <c r="K71" s="46">
        <f>K65-K68-K70</f>
        <v/>
      </c>
      <c r="L71" s="46">
        <f>L65-L68-L70</f>
        <v/>
      </c>
      <c r="M71" s="46">
        <f>M65-M68-M70+M69+'CAPEX'!$C$49</f>
        <v/>
      </c>
    </row>
    <row r="72">
      <c r="B72" s="45" t="inlineStr">
        <is>
          <t>التدفق النقدي التراكمي</t>
        </is>
      </c>
      <c r="C72" s="46">
        <f>C71</f>
        <v/>
      </c>
      <c r="D72" s="46">
        <f>C72+D71</f>
        <v/>
      </c>
      <c r="E72" s="46">
        <f>D72+E71</f>
        <v/>
      </c>
      <c r="F72" s="46">
        <f>E72+F71</f>
        <v/>
      </c>
      <c r="G72" s="46">
        <f>F72+G71</f>
        <v/>
      </c>
      <c r="H72" s="46">
        <f>G72+H71</f>
        <v/>
      </c>
      <c r="I72" s="46">
        <f>H72+I71</f>
        <v/>
      </c>
      <c r="J72" s="46">
        <f>I72+J71</f>
        <v/>
      </c>
      <c r="K72" s="46">
        <f>J72+K71</f>
        <v/>
      </c>
      <c r="L72" s="46">
        <f>K72+L71</f>
        <v/>
      </c>
      <c r="M72" s="46">
        <f>L72+M71</f>
        <v/>
      </c>
    </row>
    <row r="73">
      <c r="B73" s="57" t="inlineStr">
        <is>
          <t>معدل الخصم للسيناريو</t>
        </is>
      </c>
      <c r="C73" s="76">
        <f>الافتراضات!$E$28</f>
        <v/>
      </c>
    </row>
    <row r="74">
      <c r="B74" s="57" t="inlineStr">
        <is>
          <t>NPV — 10 سنوات</t>
        </is>
      </c>
      <c r="C74" s="46">
        <f>NPV(الافتراضات!$E$28,D71:M71)+C71</f>
        <v/>
      </c>
    </row>
    <row r="75">
      <c r="B75" s="57" t="inlineStr">
        <is>
          <t>IRR — 10 سنوات</t>
        </is>
      </c>
      <c r="C75" s="52">
        <f>IFERROR(IRR(C71:M71),0)</f>
        <v/>
      </c>
    </row>
    <row r="76">
      <c r="B76" s="57" t="inlineStr">
        <is>
          <t>EBITDA (سنة 1)</t>
        </is>
      </c>
      <c r="C76" s="77">
        <f>D65</f>
        <v/>
      </c>
    </row>
    <row r="77">
      <c r="B77" s="57" t="inlineStr">
        <is>
          <t>صافي الربح (سنة 1)</t>
        </is>
      </c>
      <c r="C77" s="77">
        <f>D67</f>
        <v/>
      </c>
    </row>
    <row r="78">
      <c r="B78" s="57" t="inlineStr">
        <is>
          <t>إجمالي الاستثمار (CAPEX + رأس مال عامل)</t>
        </is>
      </c>
      <c r="C78" s="77">
        <f>'CAPEX'!$C$44+D69</f>
        <v/>
      </c>
    </row>
    <row r="79">
      <c r="B79" s="57" t="inlineStr">
        <is>
          <t>الحكم على السيناريو</t>
        </is>
      </c>
      <c r="C79" s="78">
        <f>IF(C74&gt;0,"مقبول عند معدل الخصم هذا","مرفوض — لا يحقق العائد المطلوب")</f>
        <v/>
      </c>
    </row>
    <row r="82" ht="26" customHeight="1">
      <c r="B82" s="49" t="inlineStr">
        <is>
          <t>المتحفظ ليس حالة متطرفة: يفترض تضخم تكلفة الخام 11% سنوياً مقابل 7% لسعر البيع، حجم −10%، سعر أرز −5%، علف −6%، ومعدل خصم 22%. النتيجة تُظهر أن المشروع يتحوّل إلى نزيف نقدي مزمن تحت ضغط الهامش — وهو سيناريو تاريخي متكرر في ضرب الأرز عند ارتفاع أسعار الشعير.</t>
        </is>
      </c>
    </row>
  </sheetData>
  <mergeCells count="6">
    <mergeCell ref="B2:M2"/>
    <mergeCell ref="B5:M5"/>
    <mergeCell ref="B31:M31"/>
    <mergeCell ref="B1:M1"/>
    <mergeCell ref="B57:M57"/>
    <mergeCell ref="B82:M82"/>
  </mergeCells>
  <pageMargins left="0.75" right="0.75" top="1" bottom="1" header="0.5" footer="0.5"/>
</worksheet>
</file>

<file path=xl/worksheets/sheet14.xml><?xml version="1.0" encoding="utf-8"?>
<worksheet xmlns="http://schemas.openxmlformats.org/spreadsheetml/2006/main">
  <sheetPr>
    <tabColor rgb="00EAD1DC"/>
    <outlinePr summaryBelow="1" summaryRight="1"/>
    <pageSetUpPr/>
  </sheetPr>
  <dimension ref="B1:H35"/>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48" customWidth="1" min="2" max="2"/>
    <col width="16" customWidth="1" min="3" max="3"/>
    <col width="16" customWidth="1" min="4" max="4"/>
    <col width="16" customWidth="1" min="5" max="5"/>
    <col width="16" customWidth="1" min="6" max="6"/>
    <col width="16" customWidth="1" min="7" max="7"/>
    <col width="16" customWidth="1" min="8" max="8"/>
  </cols>
  <sheetData>
    <row r="1" ht="30" customHeight="1">
      <c r="B1" s="25" t="inlineStr">
        <is>
          <t>مراجعة افتراضات الدراسة — جسر من EBITDA الدراسة إلى EBITDA المراجعة</t>
        </is>
      </c>
      <c r="C1" s="2" t="n"/>
      <c r="D1" s="2" t="n"/>
      <c r="E1" s="2" t="n"/>
      <c r="F1" s="2" t="n"/>
      <c r="G1" s="2" t="n"/>
      <c r="H1" s="2" t="n"/>
    </row>
    <row r="2">
      <c r="B2" s="26" t="inlineStr">
        <is>
          <t>كل سطر قابل للتتبع: القيمة الأصلية (أزرق، من ملف الدراسة) مقابل قيمة المراجعة (أخضر) مع الفرق والتوصية.</t>
        </is>
      </c>
    </row>
    <row r="5" ht="21" customHeight="1">
      <c r="B5" s="27" t="inlineStr">
        <is>
          <t>أ) جسر المطابقة: من 1,512,600 ج إلى EBITDA المراجعة</t>
        </is>
      </c>
      <c r="C5" s="28" t="n"/>
      <c r="D5" s="28" t="n"/>
      <c r="E5" s="28" t="n"/>
      <c r="F5" s="28" t="n"/>
      <c r="G5" s="28" t="n"/>
      <c r="H5" s="28" t="n"/>
    </row>
    <row r="6" ht="18" customHeight="1">
      <c r="B6" s="38" t="inlineStr">
        <is>
          <t>البند</t>
        </is>
      </c>
      <c r="C6" s="38" t="inlineStr">
        <is>
          <t>المبلغ (ج.م/سنة)</t>
        </is>
      </c>
      <c r="D6" s="38" t="inlineStr">
        <is>
          <t>التصنيف</t>
        </is>
      </c>
      <c r="E6" s="38" t="inlineStr">
        <is>
          <t>الأثر على EBITDA</t>
        </is>
      </c>
      <c r="F6" s="38" t="inlineStr">
        <is>
          <t>التوصية</t>
        </is>
      </c>
      <c r="G6" s="38" t="inlineStr"/>
      <c r="H6" s="38" t="inlineStr"/>
    </row>
    <row r="7">
      <c r="B7" s="29" t="inlineStr">
        <is>
          <t>EBITDA كما ورد في الدراسة الأصلية</t>
        </is>
      </c>
      <c r="C7" s="33" t="n">
        <v>1512600</v>
      </c>
      <c r="D7" s="31" t="inlineStr">
        <is>
          <t>ج.م/سنة</t>
        </is>
      </c>
      <c r="E7" s="32" t="inlineStr">
        <is>
          <t>قائمة_الدخل!C9 بالملف الأصلي</t>
        </is>
      </c>
    </row>
    <row r="8" ht="26" customHeight="1">
      <c r="B8" s="22" t="inlineStr">
        <is>
          <t>(1) تصحيح نسبة استرداد الأرز من 67.3% إلى 65.0%</t>
        </is>
      </c>
      <c r="C8" s="50">
        <f>-((35)-'OPEX'!$C$8)*'الافتراضات'!$C$33*'الافتراضات'!$F$25*12</f>
        <v/>
      </c>
      <c r="D8" s="79" t="inlineStr">
        <is>
          <t>محرك تقني</t>
        </is>
      </c>
      <c r="E8" s="12" t="inlineStr">
        <is>
          <t>⚠ إجراء تصنيع تجريبي على 10 أطنان قبل الالتزام — كل نقطة استرداد = 156,000 ج/سنة</t>
        </is>
      </c>
    </row>
    <row r="9" ht="26" customHeight="1">
      <c r="B9" s="22" t="inlineStr">
        <is>
          <t>(2) إعادة تسعير مكونات العلف الخارجية للسوق</t>
        </is>
      </c>
      <c r="C9" s="50">
        <f>-(('OPEX'!$C$18)-8540)*'OPEX'!$C$12*12</f>
        <v/>
      </c>
      <c r="D9" s="79" t="inlineStr">
        <is>
          <t>محرك سعري</t>
        </is>
      </c>
      <c r="E9" s="12" t="inlineStr">
        <is>
          <t>تأكيد أسعار الذرة وكسب الصويا بعروض مكتوبة</t>
        </is>
      </c>
    </row>
    <row r="10" ht="26" customHeight="1">
      <c r="B10" s="22" t="inlineStr">
        <is>
          <t>(3) انخفاض حجم دفعة العلف تبعاً للاسترداد</t>
        </is>
      </c>
      <c r="C10" s="50">
        <f>-(17.5-'OPEX'!$C$12)*('الافتراضات'!$C$34*'الافتراضات'!$F$26-'OPEX'!$C$18-1000)*12</f>
        <v/>
      </c>
      <c r="D10" s="79" t="inlineStr">
        <is>
          <t>محرك تقني</t>
        </is>
      </c>
      <c r="E10" s="12" t="inlineStr">
        <is>
          <t>الحجم مقيّد بإتاحة النخالة والكسر — لا يمكن رفعه دون شراء خامات خارجية</t>
        </is>
      </c>
    </row>
    <row r="11" ht="26" customHeight="1">
      <c r="B11" s="22" t="inlineStr">
        <is>
          <t>(4) خفض تكلفة تغليف الأرز من 571 ج/طن إلى 380 ج/طن</t>
        </is>
      </c>
      <c r="C11" s="50">
        <f>(20000-'OPEX'!$C$17)*12</f>
        <v/>
      </c>
      <c r="D11" s="79" t="inlineStr">
        <is>
          <t>تصحيح بند</t>
        </is>
      </c>
      <c r="E11" s="12" t="inlineStr">
        <is>
          <t>طلب عروض أسعار أكياس 25 كجم موثقة</t>
        </is>
      </c>
    </row>
    <row r="12" ht="26" customHeight="1">
      <c r="B12" s="22" t="inlineStr">
        <is>
          <t>(5) إضافة التكاليف الثابتة المُغفلة (تأمينات، إدارة، جودة، إحلال)</t>
        </is>
      </c>
      <c r="C12" s="50">
        <f>-('الافتراضات'!$C$104-98500)*12</f>
        <v/>
      </c>
      <c r="D12" s="79" t="inlineStr">
        <is>
          <t>إغفال جوهري</t>
        </is>
      </c>
      <c r="E12" s="12" t="inlineStr">
        <is>
          <t>⚠ أكبر بند تصحيح — بنود تشغيل رسمي لا تظهر في الدراسة</t>
        </is>
      </c>
    </row>
    <row r="13" ht="26" customHeight="1">
      <c r="B13" s="22" t="inlineStr">
        <is>
          <t>(6) عمولة بيع وتوزيع الأرز (مُغفلة تماماً)</t>
        </is>
      </c>
      <c r="C13" s="50">
        <f>-'OPEX'!$C$22*12</f>
        <v/>
      </c>
      <c r="D13" s="79" t="inlineStr">
        <is>
          <t>إغفال جوهري</t>
        </is>
      </c>
      <c r="E13" s="12" t="inlineStr">
        <is>
          <t>تُقاس من عقود فعلية مع تجار الجملة</t>
        </is>
      </c>
    </row>
    <row r="14">
      <c r="B14" s="34" t="inlineStr">
        <is>
          <t>إجمالي التسويات</t>
        </is>
      </c>
      <c r="C14" s="35">
        <f>SUM('مراجعة_الافتراضات'!$C$8:'مراجعة_الافتراضات'!$C$13)</f>
        <v/>
      </c>
      <c r="D14" s="31" t="inlineStr">
        <is>
          <t>ج.م/سنة</t>
        </is>
      </c>
      <c r="E14" s="32" t="inlineStr">
        <is>
          <t>صافي الفرق بين الدراسة والمراجعة</t>
        </is>
      </c>
    </row>
    <row r="15">
      <c r="B15" s="45" t="inlineStr">
        <is>
          <t>EBITDA المراجعة (سنة 1)</t>
        </is>
      </c>
      <c r="C15" s="46">
        <f>'مراجعة_الافتراضات'!$C$7+C14</f>
        <v/>
      </c>
      <c r="D15" s="31" t="inlineStr">
        <is>
          <t>ج.م/سنة</t>
        </is>
      </c>
      <c r="E15" s="32" t="inlineStr">
        <is>
          <t>يطابق ورقة التدفق السنوي</t>
        </is>
      </c>
    </row>
    <row r="17" ht="21" customHeight="1">
      <c r="B17" s="27" t="inlineStr">
        <is>
          <t>ب) تدقيق الأسعار والكميات ومعدلات النمو والهدر والخصم والضريبة</t>
        </is>
      </c>
      <c r="C17" s="28" t="n"/>
      <c r="D17" s="28" t="n"/>
      <c r="E17" s="28" t="n"/>
      <c r="F17" s="28" t="n"/>
      <c r="G17" s="28" t="n"/>
      <c r="H17" s="28" t="n"/>
    </row>
    <row r="18" ht="18" customHeight="1">
      <c r="B18" s="38" t="inlineStr">
        <is>
          <t>الفرضية</t>
        </is>
      </c>
      <c r="C18" s="38" t="inlineStr">
        <is>
          <t>كما في الدراسة</t>
        </is>
      </c>
      <c r="D18" s="38" t="inlineStr">
        <is>
          <t>المراجعة</t>
        </is>
      </c>
      <c r="E18" s="38" t="inlineStr">
        <is>
          <t>الفرق</t>
        </is>
      </c>
      <c r="F18" s="38" t="inlineStr">
        <is>
          <t>التقييم والخطر</t>
        </is>
      </c>
      <c r="G18" s="38" t="inlineStr"/>
      <c r="H18" s="38" t="inlineStr"/>
    </row>
    <row r="19" ht="26" customHeight="1">
      <c r="B19" s="22" t="inlineStr">
        <is>
          <t>نسبة استرداد الأرز الأبيض</t>
        </is>
      </c>
      <c r="C19" s="80" t="n">
        <v>0.673</v>
      </c>
      <c r="D19" s="14">
        <f>'الافتراضات'!$C$51</f>
        <v/>
      </c>
      <c r="E19" s="81" t="inlineStr">
        <is>
          <t>حرج</t>
        </is>
      </c>
      <c r="F19" s="12" t="inlineStr">
        <is>
          <t>⚠ أعلى من المدى العملي 60–68% وسعر الأرز هو مخرج وحيد بلا منتجات بديلة</t>
        </is>
      </c>
    </row>
    <row r="20" ht="26" customHeight="1">
      <c r="B20" s="22" t="inlineStr">
        <is>
          <t>كمية الأرز الأبيض شهرياً (طن)</t>
        </is>
      </c>
      <c r="C20" s="82" t="n">
        <v>35</v>
      </c>
      <c r="D20" s="58">
        <f>'OPEX'!$C$8</f>
        <v/>
      </c>
      <c r="E20" s="81" t="inlineStr">
        <is>
          <t>حرج</t>
        </is>
      </c>
      <c r="F20" s="12" t="inlineStr">
        <is>
          <t>فرق 1.2 طن/شهر = 360,000 ج/سنة من EBITDA</t>
        </is>
      </c>
    </row>
    <row r="21" ht="26" customHeight="1">
      <c r="B21" s="22" t="inlineStr">
        <is>
          <t>معدل النمو السعري السنوي</t>
        </is>
      </c>
      <c r="C21" s="80" t="n">
        <v>0.05</v>
      </c>
      <c r="D21" s="14">
        <f>'الافتراضات'!$F$21</f>
        <v/>
      </c>
      <c r="E21" s="83" t="inlineStr">
        <is>
          <t>مرتفع</t>
        </is>
      </c>
      <c r="F21" s="12" t="inlineStr">
        <is>
          <t>5% أقل من تضخم مصر؛ لم تُطبَّق على التكاليف الثابتة إطلاقاً</t>
        </is>
      </c>
    </row>
    <row r="22" ht="26" customHeight="1">
      <c r="B22" s="22" t="inlineStr">
        <is>
          <t>التكاليف الثابتة المُحمّلة شهرياً</t>
        </is>
      </c>
      <c r="C22" s="84" t="n">
        <v>98500</v>
      </c>
      <c r="D22" s="10">
        <f>'الافتراضات'!$C$104</f>
        <v/>
      </c>
      <c r="E22" s="81" t="inlineStr">
        <is>
          <t>حرج</t>
        </is>
      </c>
      <c r="F22" s="12" t="inlineStr">
        <is>
          <t>+42% بنود مغفلة (تأمينات، إدارة، جودة، إحلال)</t>
        </is>
      </c>
    </row>
    <row r="23" ht="26" customHeight="1">
      <c r="B23" s="22" t="inlineStr">
        <is>
          <t>ضريبة الدخل</t>
        </is>
      </c>
      <c r="C23" s="80" t="inlineStr">
        <is>
          <t>ثابت 100,000 ج</t>
        </is>
      </c>
      <c r="D23" s="14">
        <f>'الافتراضات'!$C$11</f>
        <v/>
      </c>
      <c r="E23" s="81" t="inlineStr">
        <is>
          <t>حرج</t>
        </is>
      </c>
      <c r="F23" s="12" t="inlineStr">
        <is>
          <t>⚠ الخصم ليس ضريبة؛ السعر الحقيقي 22.5% — يمحو ~68,000 ج/شهر</t>
        </is>
      </c>
    </row>
    <row r="24" ht="26" customHeight="1">
      <c r="B24" s="22" t="inlineStr">
        <is>
          <t>معدل الخصم</t>
        </is>
      </c>
      <c r="C24" s="80" t="n">
        <v>0.12</v>
      </c>
      <c r="D24" s="14">
        <f>'الافتراضات'!$F$28</f>
        <v/>
      </c>
      <c r="E24" s="81" t="inlineStr">
        <is>
          <t>حرج</t>
        </is>
      </c>
      <c r="F24" s="12" t="inlineStr">
        <is>
          <t>12% مع تضخم 8% = عائد حقيقي 3.7% فقط — غير مقبول لمخاطر المشروع</t>
        </is>
      </c>
    </row>
    <row r="25" ht="26" customHeight="1">
      <c r="B25" s="22" t="inlineStr">
        <is>
          <t>رأس المال العامل</t>
        </is>
      </c>
      <c r="C25" s="84" t="n">
        <v>1091450</v>
      </c>
      <c r="D25" s="10">
        <f>'التدفق_الشهري'!$D$33</f>
        <v/>
      </c>
      <c r="E25" s="81" t="inlineStr">
        <is>
          <t>حرج</t>
        </is>
      </c>
      <c r="F25" s="12" t="inlineStr">
        <is>
          <t>الدراسة: شهر واحد من OPEX؛ الواقع يشمل مخزون شعير 45 يوماً ومدينين</t>
        </is>
      </c>
    </row>
    <row r="26" ht="26" customHeight="1">
      <c r="B26" s="22" t="inlineStr">
        <is>
          <t>فترة تخزين الشعير</t>
        </is>
      </c>
      <c r="C26" s="85" t="inlineStr">
        <is>
          <t>شهر واحد</t>
        </is>
      </c>
      <c r="D26" s="73">
        <f>'الافتراضات'!$C$74</f>
        <v/>
      </c>
      <c r="E26" s="83" t="inlineStr">
        <is>
          <t>مرتفع</t>
        </is>
      </c>
      <c r="F26" s="12" t="inlineStr">
        <is>
          <t>الشراء موسمي — يلزم تمويل مخزون أكبر</t>
        </is>
      </c>
    </row>
    <row r="27" ht="26" customHeight="1">
      <c r="B27" s="22" t="inlineStr">
        <is>
          <t>نسبة الهدر/الفاقد</t>
        </is>
      </c>
      <c r="C27" s="80" t="n">
        <v>0</v>
      </c>
      <c r="D27" s="14">
        <f>'الافتراضات'!$C$55</f>
        <v/>
      </c>
      <c r="E27" s="83" t="inlineStr">
        <is>
          <t>مرتفع</t>
        </is>
      </c>
      <c r="F27" s="12" t="inlineStr">
        <is>
          <t>افتراض فاقد صفري غير واقعي</t>
        </is>
      </c>
    </row>
    <row r="28" ht="26" customHeight="1">
      <c r="B28" s="22" t="inlineStr">
        <is>
          <t>كلفة تغليف الأرز/طن</t>
        </is>
      </c>
      <c r="C28" s="84" t="n">
        <v>571</v>
      </c>
      <c r="D28" s="10">
        <f>'الافتراضات'!$C$44</f>
        <v/>
      </c>
      <c r="E28" s="83" t="inlineStr">
        <is>
          <t>متوسط</t>
        </is>
      </c>
      <c r="F28" s="12" t="inlineStr">
        <is>
          <t>571 ج/طن مقابل 380 ج/طن الفعلية</t>
        </is>
      </c>
    </row>
    <row r="29" ht="26" customHeight="1">
      <c r="B29" s="22" t="inlineStr">
        <is>
          <t>سعر الكسر داخلياً</t>
        </is>
      </c>
      <c r="C29" s="84" t="n">
        <v>9000</v>
      </c>
      <c r="D29" s="10">
        <f>'الافتراضات'!$C$36</f>
        <v/>
      </c>
      <c r="E29" s="83" t="inlineStr">
        <is>
          <t>مرتفع</t>
        </is>
      </c>
      <c r="F29" s="12" t="inlineStr">
        <is>
          <t>أقل من سعر السوق ⇒ إهدار قيمة في تقييم النخالة والكسر</t>
        </is>
      </c>
    </row>
    <row r="30" ht="26" customHeight="1">
      <c r="B30" s="22" t="inlineStr">
        <is>
          <t>سعر النخالة داخلياً</t>
        </is>
      </c>
      <c r="C30" s="84" t="n">
        <v>10000</v>
      </c>
      <c r="D30" s="10">
        <f>'الافتراضات'!$C$37</f>
        <v/>
      </c>
      <c r="E30" s="83" t="inlineStr">
        <is>
          <t>متوسط</t>
        </is>
      </c>
      <c r="F30" s="12" t="inlineStr">
        <is>
          <t>أعلى من سعر السوق 8,000 ج</t>
        </is>
      </c>
    </row>
    <row r="31" ht="26" customHeight="1">
      <c r="B31" s="22" t="inlineStr">
        <is>
          <t>سعر الذرة</t>
        </is>
      </c>
      <c r="C31" s="84" t="n">
        <v>12500</v>
      </c>
      <c r="D31" s="10">
        <f>'الافتراضات'!$C$38</f>
        <v/>
      </c>
      <c r="E31" s="83" t="inlineStr">
        <is>
          <t>مرتفع</t>
        </is>
      </c>
      <c r="F31" s="12" t="inlineStr">
        <is>
          <t>أقل من السوق</t>
        </is>
      </c>
    </row>
    <row r="32" ht="26" customHeight="1">
      <c r="B32" s="22" t="inlineStr">
        <is>
          <t>كسب فول الصويا 44%</t>
        </is>
      </c>
      <c r="C32" s="84" t="n">
        <v>21000</v>
      </c>
      <c r="D32" s="10">
        <f>'الافتراضات'!$C$39</f>
        <v/>
      </c>
      <c r="E32" s="83" t="inlineStr">
        <is>
          <t>مرتفع</t>
        </is>
      </c>
      <c r="F32" s="12" t="inlineStr">
        <is>
          <t>أقل من السوق بـ~3,000 ج/طن</t>
        </is>
      </c>
    </row>
    <row r="33" ht="26" customHeight="1">
      <c r="B33" s="22" t="inlineStr">
        <is>
          <t>مصروفات ما قبل التشغيل/التراخيص</t>
        </is>
      </c>
      <c r="C33" s="84" t="inlineStr">
        <is>
          <t>غير موجودة</t>
        </is>
      </c>
      <c r="D33" s="10">
        <f>'CAPEX'!$C$43</f>
        <v/>
      </c>
      <c r="E33" s="83" t="inlineStr">
        <is>
          <t>مرتفع</t>
        </is>
      </c>
      <c r="F33" s="12" t="inlineStr">
        <is>
          <t>تراخيص NFSA وسجل صناعي وتأسيس = 85,000 ج</t>
        </is>
      </c>
    </row>
    <row r="34" ht="26" customHeight="1">
      <c r="B34" s="22" t="inlineStr">
        <is>
          <t>احتياطي الإحلال والصيانة</t>
        </is>
      </c>
      <c r="C34" s="84" t="n">
        <v>3000</v>
      </c>
      <c r="D34" s="10">
        <f>'الافتراضات'!$C$17*('CAPEX'!$C$11+'CAPEX'!$C$18)/12</f>
        <v/>
      </c>
      <c r="E34" s="83" t="inlineStr">
        <is>
          <t>مرتفع</t>
        </is>
      </c>
      <c r="F34" s="12" t="inlineStr">
        <is>
          <t>لا يوجد احتياطي إحلال خلال 10 سنوات — إغفال</t>
        </is>
      </c>
    </row>
    <row r="35" ht="26" customHeight="1">
      <c r="B35" s="22" t="inlineStr">
        <is>
          <t>الأعمال المدنية والتركيب والطوارئ</t>
        </is>
      </c>
      <c r="C35" s="84" t="inlineStr">
        <is>
          <t>غير موجودة</t>
        </is>
      </c>
      <c r="D35" s="10">
        <f>'CAPEX'!$C$37-1520000</f>
        <v/>
      </c>
      <c r="E35" s="81" t="inlineStr">
        <is>
          <t>حرج</t>
        </is>
      </c>
      <c r="F35" s="12" t="inlineStr">
        <is>
          <t>+450,000 ج على CAPEX عند التصحيح</t>
        </is>
      </c>
    </row>
  </sheetData>
  <mergeCells count="30">
    <mergeCell ref="E10:G10"/>
    <mergeCell ref="E13:G13"/>
    <mergeCell ref="F29:G29"/>
    <mergeCell ref="F19:G19"/>
    <mergeCell ref="F25:G25"/>
    <mergeCell ref="F34:G34"/>
    <mergeCell ref="E9:G9"/>
    <mergeCell ref="E7:H7"/>
    <mergeCell ref="B5:H5"/>
    <mergeCell ref="F21:G21"/>
    <mergeCell ref="F24:G24"/>
    <mergeCell ref="F30:G30"/>
    <mergeCell ref="E11:G11"/>
    <mergeCell ref="F20:G20"/>
    <mergeCell ref="F33:G33"/>
    <mergeCell ref="F32:G32"/>
    <mergeCell ref="F26:G26"/>
    <mergeCell ref="F35:G35"/>
    <mergeCell ref="E14:H14"/>
    <mergeCell ref="F23:G23"/>
    <mergeCell ref="F31:G31"/>
    <mergeCell ref="B2:H2"/>
    <mergeCell ref="E12:G12"/>
    <mergeCell ref="F22:G22"/>
    <mergeCell ref="F28:G28"/>
    <mergeCell ref="F27:G27"/>
    <mergeCell ref="B17:H17"/>
    <mergeCell ref="B1:H1"/>
    <mergeCell ref="E8:G8"/>
    <mergeCell ref="E15:H15"/>
  </mergeCells>
  <pageMargins left="0.75" right="0.75" top="1" bottom="1" header="0.5" footer="0.5"/>
</worksheet>
</file>

<file path=xl/worksheets/sheet15.xml><?xml version="1.0" encoding="utf-8"?>
<worksheet xmlns="http://schemas.openxmlformats.org/spreadsheetml/2006/main">
  <sheetPr>
    <tabColor rgb="00F4B183"/>
    <outlinePr summaryBelow="1" summaryRight="1"/>
    <pageSetUpPr/>
  </sheetPr>
  <dimension ref="B1:H18"/>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30" customWidth="1" min="2" max="2"/>
    <col width="20" customWidth="1" min="3" max="3"/>
    <col width="20" customWidth="1" min="4" max="4"/>
    <col width="20" customWidth="1" min="5" max="5"/>
    <col width="20" customWidth="1" min="6" max="6"/>
    <col width="20" customWidth="1" min="7" max="7"/>
    <col width="20" customWidth="1" min="8" max="8"/>
  </cols>
  <sheetData>
    <row r="1" ht="30" customHeight="1">
      <c r="B1" s="25" t="inlineStr">
        <is>
          <t>سجل المخاطر وإجراءات التخفيف — مشروع تعبئة الأرز والأعلاف</t>
        </is>
      </c>
      <c r="C1" s="2" t="n"/>
      <c r="D1" s="2" t="n"/>
      <c r="E1" s="2" t="n"/>
      <c r="F1" s="2" t="n"/>
      <c r="G1" s="2" t="n"/>
      <c r="H1" s="2" t="n"/>
    </row>
    <row r="2">
      <c r="B2" s="26" t="inlineStr">
        <is>
          <t>التصنيف = الاحتمال × الأثر. كل خطر له مؤشر رقابي قابل للقياس وإجراء تخفيف محدد.</t>
        </is>
      </c>
    </row>
    <row r="4" ht="30" customHeight="1">
      <c r="B4" s="72" t="inlineStr">
        <is>
          <t>م</t>
        </is>
      </c>
      <c r="C4" s="72" t="inlineStr">
        <is>
          <t>المخاطرة</t>
        </is>
      </c>
      <c r="D4" s="72" t="inlineStr">
        <is>
          <t>الاحتمال</t>
        </is>
      </c>
      <c r="E4" s="72" t="inlineStr">
        <is>
          <t>الأثر</t>
        </is>
      </c>
      <c r="F4" s="72" t="inlineStr">
        <is>
          <t>التصنيف</t>
        </is>
      </c>
      <c r="G4" s="72" t="inlineStr">
        <is>
          <t>إجراء التخفيف والمؤشر الرقابي</t>
        </is>
      </c>
    </row>
    <row r="5" ht="40" customHeight="1">
      <c r="B5" s="86" t="inlineStr">
        <is>
          <t>1</t>
        </is>
      </c>
      <c r="C5" s="86" t="inlineStr">
        <is>
          <t>تقلّب سعر شراء الشعير (موسمي وعالمي)</t>
        </is>
      </c>
      <c r="D5" s="87" t="inlineStr">
        <is>
          <t>مرتفع جداً</t>
        </is>
      </c>
      <c r="E5" s="87" t="inlineStr">
        <is>
          <t>حرج</t>
        </is>
      </c>
      <c r="F5" s="88" t="inlineStr">
        <is>
          <t>حرج</t>
        </is>
      </c>
      <c r="G5" s="87" t="inlineStr">
        <is>
          <t>عقود توريد آجلة مع مزارعين قبل الحصاد؛ شراء وتعزيل في الموسم بمخزن مؤمّن؛ مؤشر: سعر الشراء الشهري مقابل 15,500 ج</t>
        </is>
      </c>
    </row>
    <row r="6" ht="40" customHeight="1">
      <c r="B6" s="86" t="inlineStr">
        <is>
          <t>2</t>
        </is>
      </c>
      <c r="C6" s="86" t="inlineStr">
        <is>
          <t>انخفاض نسبة استرداد الأرز عن 65%</t>
        </is>
      </c>
      <c r="D6" s="87" t="inlineStr">
        <is>
          <t>متوسط</t>
        </is>
      </c>
      <c r="E6" s="87" t="inlineStr">
        <is>
          <t>حرج</t>
        </is>
      </c>
      <c r="F6" s="88" t="inlineStr">
        <is>
          <t>حرج</t>
        </is>
      </c>
      <c r="G6" s="87" t="inlineStr">
        <is>
          <t>إجراء تصنيع تجريبي على 10 أطنان من نفس الصنف قبل الالتزام بالاستثمار؛ مؤشر: نسبة الحبة الكاملة لكل شحنة (≥63%)</t>
        </is>
      </c>
    </row>
    <row r="7" ht="40" customHeight="1">
      <c r="B7" s="86" t="inlineStr">
        <is>
          <t>3</t>
        </is>
      </c>
      <c r="C7" s="86" t="inlineStr">
        <is>
          <t>انخفاض سعر بيع الأرز الأبيض أو ضغط السوق المستورد</t>
        </is>
      </c>
      <c r="D7" s="87" t="inlineStr">
        <is>
          <t>مرتفع</t>
        </is>
      </c>
      <c r="E7" s="87" t="inlineStr">
        <is>
          <t>حرج</t>
        </is>
      </c>
      <c r="F7" s="88" t="inlineStr">
        <is>
          <t>حرج</t>
        </is>
      </c>
      <c r="G7" s="87" t="inlineStr">
        <is>
          <t>بيع مسبق بعقود، تنويع لتعبئة 5 و1 كجم (علاوة 15–25%)، علامة تجارية إقليمية؛ مؤشر: متوسط سعر البيع الشهري</t>
        </is>
      </c>
    </row>
    <row r="8" ht="40" customHeight="1">
      <c r="B8" s="86" t="inlineStr">
        <is>
          <t>4</t>
        </is>
      </c>
      <c r="C8" s="86" t="inlineStr">
        <is>
          <t>هامش العلف أقل من الافتراض (19.6%)</t>
        </is>
      </c>
      <c r="D8" s="87" t="inlineStr">
        <is>
          <t>مرتفع</t>
        </is>
      </c>
      <c r="E8" s="87" t="inlineStr">
        <is>
          <t>مرتفع</t>
        </is>
      </c>
      <c r="F8" s="88" t="inlineStr">
        <is>
          <t>حرج</t>
        </is>
      </c>
      <c r="G8" s="87" t="inlineStr">
        <is>
          <t>عقود بيع علف بمؤشر سعري مرتبط بسعر الذرة؛ إعادة تركيب الخلطة لتقليل الصويا؛ مؤشر: هامش العلف الشهري</t>
        </is>
      </c>
    </row>
    <row r="9" ht="40" customHeight="1">
      <c r="B9" s="86" t="inlineStr">
        <is>
          <t>5</t>
        </is>
      </c>
      <c r="C9" s="86" t="inlineStr">
        <is>
          <t>نقص السيولة في السنة الأولى (رأس مال عامل 2.17 مليون)</t>
        </is>
      </c>
      <c r="D9" s="87" t="inlineStr">
        <is>
          <t>مرتفع جداً</t>
        </is>
      </c>
      <c r="E9" s="87" t="inlineStr">
        <is>
          <t>حرج</t>
        </is>
      </c>
      <c r="F9" s="88" t="inlineStr">
        <is>
          <t>حرج</t>
        </is>
      </c>
      <c r="G9" s="87" t="inlineStr">
        <is>
          <t>خط ائتمان تشغيلي مُجهّز مسبقاً بـ1.5 مليون ج؛ دفعات مقدمة من التجار؛ مؤشر: النقد المتاح ÷ الأسبوع</t>
        </is>
      </c>
    </row>
    <row r="10" ht="40" customHeight="1">
      <c r="B10" s="86" t="inlineStr">
        <is>
          <t>6</t>
        </is>
      </c>
      <c r="C10" s="86" t="inlineStr">
        <is>
          <t>جودة الشعير الوارد (شوائب ورطوبة)</t>
        </is>
      </c>
      <c r="D10" s="87" t="inlineStr">
        <is>
          <t>مرتفع</t>
        </is>
      </c>
      <c r="E10" s="87" t="inlineStr">
        <is>
          <t>مرتفع</t>
        </is>
      </c>
      <c r="F10" s="89" t="inlineStr">
        <is>
          <t>مرتفع</t>
        </is>
      </c>
      <c r="G10" s="87" t="inlineStr">
        <is>
          <t>بند جزائي في عقد التوريد، ميزان رطوبة وجهاز قياس شوائب، خصم سعري؛ مؤشر: % الشوائب لكل شحنة</t>
        </is>
      </c>
    </row>
    <row r="11" ht="40" customHeight="1">
      <c r="B11" s="86" t="inlineStr">
        <is>
          <t>7</t>
        </is>
      </c>
      <c r="C11" s="86" t="inlineStr">
        <is>
          <t>اعتماد على مورّد واحد للشعير</t>
        </is>
      </c>
      <c r="D11" s="87" t="inlineStr">
        <is>
          <t>متوسط</t>
        </is>
      </c>
      <c r="E11" s="87" t="inlineStr">
        <is>
          <t>مرتفع</t>
        </is>
      </c>
      <c r="F11" s="89" t="inlineStr">
        <is>
          <t>متوسط</t>
        </is>
      </c>
      <c r="G11" s="87" t="inlineStr">
        <is>
          <t>اعتماد 3 مورّدين على الأقل بتوزيع 50/30/20؛ مؤشر: تركّز المشتريات</t>
        </is>
      </c>
    </row>
    <row r="12" ht="40" customHeight="1">
      <c r="B12" s="86" t="inlineStr">
        <is>
          <t>8</t>
        </is>
      </c>
      <c r="C12" s="86" t="inlineStr">
        <is>
          <t>ارتفاع سعر الكهرباء والوقود</t>
        </is>
      </c>
      <c r="D12" s="87" t="inlineStr">
        <is>
          <t>مرتفع</t>
        </is>
      </c>
      <c r="E12" s="87" t="inlineStr">
        <is>
          <t>متوسط</t>
        </is>
      </c>
      <c r="F12" s="89" t="inlineStr">
        <is>
          <t>متوسط</t>
        </is>
      </c>
      <c r="G12" s="87" t="inlineStr">
        <is>
          <t>موازنة الأحمال، لوحة تحسين معامل القدرة، مولد احتياطي، مقارنة استهلاك ك.و.س/طن؛ مؤشر: تكلفة الطاقة/طن</t>
        </is>
      </c>
    </row>
    <row r="13" ht="40" customHeight="1">
      <c r="B13" s="86" t="inlineStr">
        <is>
          <t>9</t>
        </is>
      </c>
      <c r="C13" s="86" t="inlineStr">
        <is>
          <t>تعطل المعدات وعدم توافر قطع الغيار</t>
        </is>
      </c>
      <c r="D13" s="87" t="inlineStr">
        <is>
          <t>متوسط</t>
        </is>
      </c>
      <c r="E13" s="87" t="inlineStr">
        <is>
          <t>مرتفع</t>
        </is>
      </c>
      <c r="F13" s="89" t="inlineStr">
        <is>
          <t>مرتفع</t>
        </is>
      </c>
      <c r="G13" s="87" t="inlineStr">
        <is>
          <t>احتياطي قطع غيار حرجة، عقد صيانة سنوي، مخزون قطع مستوردة؛ مؤشر: ساعات التوقف/شهر</t>
        </is>
      </c>
    </row>
    <row r="14" ht="40" customHeight="1">
      <c r="B14" s="86" t="inlineStr">
        <is>
          <t>10</t>
        </is>
      </c>
      <c r="C14" s="86" t="inlineStr">
        <is>
          <t>رفض أو تأخر ترخيص هيئة سلامة الغذاء</t>
        </is>
      </c>
      <c r="D14" s="87" t="inlineStr">
        <is>
          <t>متوسط</t>
        </is>
      </c>
      <c r="E14" s="87" t="inlineStr">
        <is>
          <t>حرج</t>
        </is>
      </c>
      <c r="F14" s="88" t="inlineStr">
        <is>
          <t>حرج</t>
        </is>
      </c>
      <c r="G14" s="87" t="inlineStr">
        <is>
          <t>مخاطبة الهيئة قبل التجهيز، تصميم الصالات وفق اشتراطات التداول، مسؤول سلامة غذاء معيّن؛ مؤشر: حالة الملف</t>
        </is>
      </c>
    </row>
    <row r="15" ht="40" customHeight="1">
      <c r="B15" s="86" t="inlineStr">
        <is>
          <t>11</t>
        </is>
      </c>
      <c r="C15" s="86" t="inlineStr">
        <is>
          <t>سرقة أو فقدان المخزون</t>
        </is>
      </c>
      <c r="D15" s="87" t="inlineStr">
        <is>
          <t>متوسط</t>
        </is>
      </c>
      <c r="E15" s="87" t="inlineStr">
        <is>
          <t>متوسط</t>
        </is>
      </c>
      <c r="F15" s="89" t="inlineStr">
        <is>
          <t>متوسط</t>
        </is>
      </c>
      <c r="G15" s="87" t="inlineStr">
        <is>
          <t>كاميرات، جرد دوري، فصل الصلاحيات، تأمين مخزون؛ مؤشر: الفاقد الفعلي مقابل المعياري</t>
        </is>
      </c>
    </row>
    <row r="16" ht="40" customHeight="1">
      <c r="B16" s="86" t="inlineStr">
        <is>
          <t>12</t>
        </is>
      </c>
      <c r="C16" s="86" t="inlineStr">
        <is>
          <t>تقلّب سعر الصرف على قطع الغيار والإضافات</t>
        </is>
      </c>
      <c r="D16" s="87" t="inlineStr">
        <is>
          <t>مرتفع</t>
        </is>
      </c>
      <c r="E16" s="87" t="inlineStr">
        <is>
          <t>متوسط</t>
        </is>
      </c>
      <c r="F16" s="89" t="inlineStr">
        <is>
          <t>مرتفع</t>
        </is>
      </c>
      <c r="G16" s="87" t="inlineStr">
        <is>
          <t>تخزين 3–6 أشهر من الإضافات المستوردة، توريد محلي بديل للمخلوط؛ مؤشر: تكلفة الإضافات/طن</t>
        </is>
      </c>
    </row>
    <row r="17" ht="40" customHeight="1">
      <c r="B17" s="86" t="inlineStr">
        <is>
          <t>13</t>
        </is>
      </c>
      <c r="C17" s="86" t="inlineStr">
        <is>
          <t>تغير التشريعات الضريبية أو رسوم السلامة</t>
        </is>
      </c>
      <c r="D17" s="87" t="inlineStr">
        <is>
          <t>متوسط</t>
        </is>
      </c>
      <c r="E17" s="87" t="inlineStr">
        <is>
          <t>متوسط</t>
        </is>
      </c>
      <c r="F17" s="89" t="inlineStr">
        <is>
          <t>متوسط</t>
        </is>
      </c>
      <c r="G17" s="87" t="inlineStr">
        <is>
          <t>موازنة بند قانوني/ضريبي سنوي 60,000 ج، مراجعة فصلية مع مستشار ضريبي؛ مؤشر: البنود القانونية</t>
        </is>
      </c>
    </row>
    <row r="18" ht="40" customHeight="1">
      <c r="B18" s="86" t="inlineStr">
        <is>
          <t>14</t>
        </is>
      </c>
      <c r="C18" s="86" t="inlineStr">
        <is>
          <t>عدم تحقق التوقع المالي المعتمد (IRR 10% &lt; تكلفة الأموال 20%)</t>
        </is>
      </c>
      <c r="D18" s="87" t="inlineStr">
        <is>
          <t>مرتفع جداً</t>
        </is>
      </c>
      <c r="E18" s="87" t="inlineStr">
        <is>
          <t>حرج</t>
        </is>
      </c>
      <c r="F18" s="88" t="inlineStr">
        <is>
          <t>حرج</t>
        </is>
      </c>
      <c r="G18" s="87" t="inlineStr">
        <is>
          <t>لا تبدأ التنفيذ قبل: (أ) نتائج اختبار التصنيع، (ب) عروض أسعار بيع ملزمة، (ج) تخفيض CAPEX أو إعادة هيكلة النطاق</t>
        </is>
      </c>
    </row>
  </sheetData>
  <mergeCells count="2">
    <mergeCell ref="B1:H1"/>
    <mergeCell ref="B2:H2"/>
  </mergeCells>
  <pageMargins left="0.75" right="0.75" top="1" bottom="1" header="0.5" footer="0.5"/>
</worksheet>
</file>

<file path=xl/worksheets/sheet16.xml><?xml version="1.0" encoding="utf-8"?>
<worksheet xmlns="http://schemas.openxmlformats.org/spreadsheetml/2006/main">
  <sheetPr>
    <tabColor rgb="00C9DAF8"/>
    <outlinePr summaryBelow="1" summaryRight="1"/>
    <pageSetUpPr/>
  </sheetPr>
  <dimension ref="B1:H22"/>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30" customWidth="1" min="2" max="2"/>
    <col width="20" customWidth="1" min="3" max="3"/>
    <col width="20" customWidth="1" min="4" max="4"/>
    <col width="20" customWidth="1" min="5" max="5"/>
    <col width="20" customWidth="1" min="6" max="6"/>
    <col width="20" customWidth="1" min="7" max="7"/>
    <col width="20" customWidth="1" min="8" max="8"/>
  </cols>
  <sheetData>
    <row r="1" ht="30" customHeight="1">
      <c r="B1" s="25" t="inlineStr">
        <is>
          <t>متطلبات الترخيص والجودة والعبوة والسلامة</t>
        </is>
      </c>
      <c r="C1" s="2" t="n"/>
      <c r="D1" s="2" t="n"/>
      <c r="E1" s="2" t="n"/>
      <c r="F1" s="2" t="n"/>
      <c r="G1" s="2" t="n"/>
      <c r="H1" s="2" t="n"/>
    </row>
    <row r="2">
      <c r="B2" s="26" t="inlineStr">
        <is>
          <t>⚠ الجهات والمسميات إرشادية بحسب النظام المصري — يجب تأكيدها كتابةً مع كل جهة قبل الاستثمار (تأثير مباشر على توقيت التشغيل).</t>
        </is>
      </c>
    </row>
    <row r="4" ht="30" customHeight="1">
      <c r="B4" s="72" t="inlineStr">
        <is>
          <t>م</t>
        </is>
      </c>
      <c r="C4" s="72" t="inlineStr">
        <is>
          <t>الترخيص / الشهادة</t>
        </is>
      </c>
      <c r="D4" s="72" t="inlineStr">
        <is>
          <t>الجهة المختصة</t>
        </is>
      </c>
      <c r="E4" s="72" t="inlineStr">
        <is>
          <t>الأهمية</t>
        </is>
      </c>
      <c r="F4" s="72" t="inlineStr">
        <is>
          <t>المدة التقديرية</t>
        </is>
      </c>
      <c r="G4" s="72" t="inlineStr">
        <is>
          <t>ملاحظة</t>
        </is>
      </c>
    </row>
    <row r="5" ht="40" customHeight="1">
      <c r="B5" s="86" t="inlineStr">
        <is>
          <t>1</t>
        </is>
      </c>
      <c r="C5" s="86" t="inlineStr">
        <is>
          <t>السجل التجاري وتأسيس الشركة</t>
        </is>
      </c>
      <c r="D5" s="87" t="inlineStr">
        <is>
          <t>مكتب السجل التجاري / الهيئة العامة للاستثمار</t>
        </is>
      </c>
      <c r="E5" s="90" t="inlineStr">
        <is>
          <t>إلزامي</t>
        </is>
      </c>
      <c r="F5" s="87" t="inlineStr">
        <is>
          <t>1–3 أسابيع</t>
        </is>
      </c>
      <c r="G5" s="87" t="inlineStr">
        <is>
          <t>يسبق أي إجراء آخر</t>
        </is>
      </c>
    </row>
    <row r="6" ht="40" customHeight="1">
      <c r="B6" s="86" t="inlineStr">
        <is>
          <t>2</t>
        </is>
      </c>
      <c r="C6" s="86" t="inlineStr">
        <is>
          <t>البطاقة الضريبية والرقم القومي للمنشأة</t>
        </is>
      </c>
      <c r="D6" s="87" t="inlineStr">
        <is>
          <t>مصلحة الضرائب المصرية</t>
        </is>
      </c>
      <c r="E6" s="90" t="inlineStr">
        <is>
          <t>إلزامي</t>
        </is>
      </c>
      <c r="F6" s="87" t="inlineStr">
        <is>
          <t>1–2 أسابيع</t>
        </is>
      </c>
      <c r="G6" s="87" t="inlineStr">
        <is>
          <t>شرط للتعامل مع التجار الرسميين</t>
        </is>
      </c>
    </row>
    <row r="7" ht="40" customHeight="1">
      <c r="B7" s="86" t="inlineStr">
        <is>
          <t>3</t>
        </is>
      </c>
      <c r="C7" s="86" t="inlineStr">
        <is>
          <t>السجل الصناعي</t>
        </is>
      </c>
      <c r="D7" s="87" t="inlineStr">
        <is>
          <t>مصلحة الرقابة الصناعية / وزارة التجارة والصناعة</t>
        </is>
      </c>
      <c r="E7" s="90" t="inlineStr">
        <is>
          <t>إلزامي</t>
        </is>
      </c>
      <c r="F7" s="87" t="inlineStr">
        <is>
          <t>4–8 أسابيع</t>
        </is>
      </c>
      <c r="G7" s="87" t="inlineStr">
        <is>
          <t>يسبق التشغيل الفعلي</t>
        </is>
      </c>
    </row>
    <row r="8" ht="40" customHeight="1">
      <c r="B8" s="86" t="inlineStr">
        <is>
          <t>4</t>
        </is>
      </c>
      <c r="C8" s="86" t="inlineStr">
        <is>
          <t>ترخيص المنشأة واعتماد الموقع</t>
        </is>
      </c>
      <c r="D8" s="87" t="inlineStr">
        <is>
          <t>الوحدة المحلية / الجهة الإدارية المختصة</t>
        </is>
      </c>
      <c r="E8" s="90" t="inlineStr">
        <is>
          <t>إلزامي</t>
        </is>
      </c>
      <c r="F8" s="87" t="inlineStr">
        <is>
          <t>4–12 أسبوعاً</t>
        </is>
      </c>
      <c r="G8" s="87" t="inlineStr">
        <is>
          <t>الموقع والاشتراطات البنائية</t>
        </is>
      </c>
    </row>
    <row r="9" ht="40" customHeight="1">
      <c r="B9" s="86" t="inlineStr">
        <is>
          <t>5</t>
        </is>
      </c>
      <c r="C9" s="86" t="inlineStr">
        <is>
          <t>ترخيص/تسجيل المنشآت الغذائية</t>
        </is>
      </c>
      <c r="D9" s="87" t="inlineStr">
        <is>
          <t>الهيئة القومية لسلامة الغذاء (NFSA)</t>
        </is>
      </c>
      <c r="E9" s="88" t="inlineStr">
        <is>
          <t>حرج</t>
        </is>
      </c>
      <c r="F9" s="87" t="inlineStr">
        <is>
          <t>2–4 أشهر</t>
        </is>
      </c>
      <c r="G9" s="87" t="inlineStr">
        <is>
          <t>أطول مسار زمني — ابدأ أولاً</t>
        </is>
      </c>
    </row>
    <row r="10" ht="40" customHeight="1">
      <c r="B10" s="86" t="inlineStr">
        <is>
          <t>6</t>
        </is>
      </c>
      <c r="C10" s="86" t="inlineStr">
        <is>
          <t>الموافقة البيئية</t>
        </is>
      </c>
      <c r="D10" s="87" t="inlineStr">
        <is>
          <t>جهاز شئون البيئة</t>
        </is>
      </c>
      <c r="E10" s="90" t="inlineStr">
        <is>
          <t>إلزامي</t>
        </is>
      </c>
      <c r="F10" s="87" t="inlineStr">
        <is>
          <t>4–10 أسابيع</t>
        </is>
      </c>
      <c r="G10" s="87" t="inlineStr">
        <is>
          <t>انبعاثات الأتربة والغلايات إن وُجدت</t>
        </is>
      </c>
    </row>
    <row r="11" ht="40" customHeight="1">
      <c r="B11" s="86" t="inlineStr">
        <is>
          <t>7</t>
        </is>
      </c>
      <c r="C11" s="86" t="inlineStr">
        <is>
          <t>شهادة مراجعة الحريق</t>
        </is>
      </c>
      <c r="D11" s="87" t="inlineStr">
        <is>
          <t>الحماية المدنية</t>
        </is>
      </c>
      <c r="E11" s="90" t="inlineStr">
        <is>
          <t>إلزامي</t>
        </is>
      </c>
      <c r="F11" s="87" t="inlineStr">
        <is>
          <t>2–4 أسابيع</t>
        </is>
      </c>
      <c r="G11" s="87" t="inlineStr">
        <is>
          <t>مخزون الأكياس والمواد القابلة للاشتعال</t>
        </is>
      </c>
    </row>
    <row r="12" ht="40" customHeight="1">
      <c r="B12" s="86" t="inlineStr">
        <is>
          <t>8</t>
        </is>
      </c>
      <c r="C12" s="86" t="inlineStr">
        <is>
          <t>ترخيص الأوزان والمقاييس</t>
        </is>
      </c>
      <c r="D12" s="87" t="inlineStr">
        <is>
          <t>مصلحة الدمغ والموازين</t>
        </is>
      </c>
      <c r="E12" s="90" t="inlineStr">
        <is>
          <t>إلزامي</t>
        </is>
      </c>
      <c r="F12" s="87" t="inlineStr">
        <is>
          <t>2–4 أسابيع</t>
        </is>
      </c>
      <c r="G12" s="87" t="inlineStr">
        <is>
          <t>معايرة الموازين والعدّادات</t>
        </is>
      </c>
    </row>
    <row r="13" ht="40" customHeight="1">
      <c r="B13" s="86" t="inlineStr">
        <is>
          <t>9</t>
        </is>
      </c>
      <c r="C13" s="86" t="inlineStr">
        <is>
          <t>تسجيل واعتماد الأعلاف</t>
        </is>
      </c>
      <c r="D13" s="87" t="inlineStr">
        <is>
          <t>وزارة الزراعة — الإدارة المركزية للصحة الحيوانية</t>
        </is>
      </c>
      <c r="E13" s="88" t="inlineStr">
        <is>
          <t>حرج</t>
        </is>
      </c>
      <c r="F13" s="87" t="inlineStr">
        <is>
          <t>1–3 أشهر</t>
        </is>
      </c>
      <c r="G13" s="87" t="inlineStr">
        <is>
          <t>تركيبة العلف وبطاقة البيان معتمدة</t>
        </is>
      </c>
    </row>
    <row r="14" ht="40" customHeight="1">
      <c r="B14" s="86" t="inlineStr">
        <is>
          <t>10</t>
        </is>
      </c>
      <c r="C14" s="86" t="inlineStr">
        <is>
          <t>بطاقة البيان على العبوة (25 كجم / 50 كجم)</t>
        </is>
      </c>
      <c r="D14" s="87" t="inlineStr">
        <is>
          <t>NFSA / الرقابة الصناعية</t>
        </is>
      </c>
      <c r="E14" s="88" t="inlineStr">
        <is>
          <t>حرج</t>
        </is>
      </c>
      <c r="F14" s="87" t="inlineStr">
        <is>
          <t>مستمر</t>
        </is>
      </c>
      <c r="G14" s="87" t="inlineStr">
        <is>
          <t>اسم المنتج، الوزن، تاريخ الإنتاج والانتهاء، رقم التشغيلة، بيانات المُنتج</t>
        </is>
      </c>
    </row>
    <row r="15" ht="40" customHeight="1">
      <c r="B15" s="86" t="inlineStr">
        <is>
          <t>11</t>
        </is>
      </c>
      <c r="C15" s="86" t="inlineStr">
        <is>
          <t>اشتراطات الصحة والنظافة الشخصية للعاملين</t>
        </is>
      </c>
      <c r="D15" s="87" t="inlineStr">
        <is>
          <t>NFSA</t>
        </is>
      </c>
      <c r="E15" s="90" t="inlineStr">
        <is>
          <t>إلزامي</t>
        </is>
      </c>
      <c r="F15" s="87" t="inlineStr">
        <is>
          <t>مستمر</t>
        </is>
      </c>
      <c r="G15" s="87" t="inlineStr">
        <is>
          <t>شهادات صحية للعاملين، زي موحّد، برنامج مكافحة حشرات وقوارض</t>
        </is>
      </c>
    </row>
    <row r="16" ht="40" customHeight="1">
      <c r="B16" s="86" t="inlineStr">
        <is>
          <t>12</t>
        </is>
      </c>
      <c r="C16" s="86" t="inlineStr">
        <is>
          <t>iso 22000 / haccp وخطط الجودة</t>
        </is>
      </c>
      <c r="D16" s="87" t="inlineStr">
        <is>
          <t>جهة مانحة معتمدة</t>
        </is>
      </c>
      <c r="E16" s="90" t="inlineStr">
        <is>
          <t>اختياري مُفضّل</t>
        </is>
      </c>
      <c r="F16" s="87" t="inlineStr">
        <is>
          <t>3–6 أشهر</t>
        </is>
      </c>
      <c r="G16" s="87" t="inlineStr">
        <is>
          <t>شرط للبيع لمتاجر السلاسل والتصدير</t>
        </is>
      </c>
    </row>
    <row r="17" ht="40" customHeight="1">
      <c r="B17" s="86" t="inlineStr">
        <is>
          <t>13</t>
        </is>
      </c>
      <c r="C17" s="86" t="inlineStr">
        <is>
          <t>علامة الجودة المصرية</t>
        </is>
      </c>
      <c r="D17" s="87" t="inlineStr">
        <is>
          <t>هيئة المواصفات والجودة (EOS)</t>
        </is>
      </c>
      <c r="E17" s="90" t="inlineStr">
        <is>
          <t>اختياري مُفضّل</t>
        </is>
      </c>
      <c r="F17" s="87" t="inlineStr">
        <is>
          <t>4–8 أشهر</t>
        </is>
      </c>
      <c r="G17" s="87" t="inlineStr">
        <is>
          <t>تعزيز السعر والقدرة التفاوضية</t>
        </is>
      </c>
    </row>
    <row r="18" ht="40" customHeight="1">
      <c r="B18" s="86" t="inlineStr">
        <is>
          <t>14</t>
        </is>
      </c>
      <c r="C18" s="86" t="inlineStr">
        <is>
          <t>شهادة الحلال (إن كان التصدير)</t>
        </is>
      </c>
      <c r="D18" s="87" t="inlineStr">
        <is>
          <t>جهة معتمدة</t>
        </is>
      </c>
      <c r="E18" s="90" t="inlineStr">
        <is>
          <t>حسب السوق</t>
        </is>
      </c>
      <c r="F18" s="87" t="inlineStr">
        <is>
          <t>2–4 أشهر</t>
        </is>
      </c>
      <c r="G18" s="87" t="inlineStr">
        <is>
          <t>لازم للتصدير لبعض الأسواق</t>
        </is>
      </c>
    </row>
    <row r="19" ht="40" customHeight="1">
      <c r="B19" s="86" t="inlineStr">
        <is>
          <t>15</t>
        </is>
      </c>
      <c r="C19" s="86" t="inlineStr">
        <is>
          <t>تأمين شامل على الأصول والمخزون</t>
        </is>
      </c>
      <c r="D19" s="87" t="inlineStr">
        <is>
          <t>شركة تأمين</t>
        </is>
      </c>
      <c r="E19" s="90" t="inlineStr">
        <is>
          <t>إلزامي</t>
        </is>
      </c>
      <c r="F19" s="87" t="inlineStr">
        <is>
          <t>1–2 أسبوع</t>
        </is>
      </c>
      <c r="G19" s="87" t="inlineStr">
        <is>
          <t>شرط لأي تمويل بنكي</t>
        </is>
      </c>
    </row>
    <row r="20" ht="40" customHeight="1">
      <c r="B20" s="86" t="inlineStr">
        <is>
          <t>16</t>
        </is>
      </c>
      <c r="C20" s="86" t="inlineStr">
        <is>
          <t>تقييم الأثر البيئي وترخيص الصرف الصناعي</t>
        </is>
      </c>
      <c r="D20" s="87" t="inlineStr">
        <is>
          <t>جهاز شئون البيئة</t>
        </is>
      </c>
      <c r="E20" s="90" t="inlineStr">
        <is>
          <t>إلزامي</t>
        </is>
      </c>
      <c r="F20" s="87" t="inlineStr">
        <is>
          <t>4–8 أسابيع</t>
        </is>
      </c>
      <c r="G20" s="87" t="inlineStr">
        <is>
          <t>يُغفل غالباً في مضارب الأرز ويسبب إغلاقاً</t>
        </is>
      </c>
    </row>
    <row r="22" ht="26" customHeight="1">
      <c r="B22" s="49" t="inlineStr">
        <is>
          <t>اشتراطات التعبئة والسلامة العملية: منع التلوث المتقاطع بين صالة الأرز وصالة العلف؛ فصل مسار القشور والأتربة مع شفط مركزي؛ أرضيات غير منفذة؛ تعقيم ومراقبة حشرات دورية؛ فصل مناطق التخزين بالرطوبة؛ سجل تتبع لكل تشغيلة يربط الشعير الداخل بالمنتج الخارج.</t>
        </is>
      </c>
    </row>
  </sheetData>
  <mergeCells count="3">
    <mergeCell ref="B1:H1"/>
    <mergeCell ref="B22:H22"/>
    <mergeCell ref="B2:H2"/>
  </mergeCells>
  <pageMargins left="0.75" right="0.75" top="1" bottom="1" header="0.5" footer="0.5"/>
</worksheet>
</file>

<file path=xl/worksheets/sheet17.xml><?xml version="1.0" encoding="utf-8"?>
<worksheet xmlns="http://schemas.openxmlformats.org/spreadsheetml/2006/main">
  <sheetPr>
    <tabColor rgb="00B6D7A8"/>
    <outlinePr summaryBelow="1" summaryRight="1"/>
    <pageSetUpPr/>
  </sheetPr>
  <dimension ref="B1:H23"/>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30" customWidth="1" min="2" max="2"/>
    <col width="20" customWidth="1" min="3" max="3"/>
    <col width="20" customWidth="1" min="4" max="4"/>
    <col width="20" customWidth="1" min="5" max="5"/>
    <col width="20" customWidth="1" min="6" max="6"/>
    <col width="20" customWidth="1" min="7" max="7"/>
    <col width="20" customWidth="1" min="8" max="8"/>
  </cols>
  <sheetData>
    <row r="1" ht="30" customHeight="1">
      <c r="B1" s="25" t="inlineStr">
        <is>
          <t>السوق المستهدف والتسعير وقنوات التوزيع</t>
        </is>
      </c>
      <c r="C1" s="2" t="n"/>
      <c r="D1" s="2" t="n"/>
      <c r="E1" s="2" t="n"/>
      <c r="F1" s="2" t="n"/>
      <c r="G1" s="2" t="n"/>
      <c r="H1" s="2" t="n"/>
    </row>
    <row r="2">
      <c r="B2" s="26" t="inlineStr">
        <is>
          <t>افتراضات الطلب مبنية على قدرة إنتاج مقيدة (35 طناً أرز + 17 طناً علف شهرياً). أي نمو يتطلب استثماراً إضافياً — وهو ما لا تعكسه الدراسة.</t>
        </is>
      </c>
    </row>
    <row r="5" ht="21" customHeight="1">
      <c r="B5" s="27" t="inlineStr">
        <is>
          <t>أ) الأسواق المستهدفة وافتراضات الطلب</t>
        </is>
      </c>
      <c r="C5" s="28" t="n"/>
      <c r="D5" s="28" t="n"/>
      <c r="E5" s="28" t="n"/>
      <c r="F5" s="28" t="n"/>
      <c r="G5" s="28" t="n"/>
      <c r="H5" s="28" t="n"/>
    </row>
    <row r="6" ht="30" customHeight="1">
      <c r="B6" s="72" t="inlineStr">
        <is>
          <t>م</t>
        </is>
      </c>
      <c r="C6" s="72" t="inlineStr">
        <is>
          <t>القطاع المستهدف</t>
        </is>
      </c>
      <c r="D6" s="72" t="inlineStr">
        <is>
          <t>الحجم المستهدف</t>
        </is>
      </c>
      <c r="E6" s="72" t="inlineStr">
        <is>
          <t>سعر البيع الافتراضي</t>
        </is>
      </c>
      <c r="F6" s="72" t="inlineStr">
        <is>
          <t>القناة الرئيسية</t>
        </is>
      </c>
      <c r="G6" s="72" t="inlineStr">
        <is>
          <t>مخاطر الطلب وفرضية الطلب</t>
        </is>
      </c>
    </row>
    <row r="7" ht="40" customHeight="1">
      <c r="B7" s="86" t="inlineStr">
        <is>
          <t>1</t>
        </is>
      </c>
      <c r="C7" s="86" t="inlineStr">
        <is>
          <t>الأرز المعبأ 25 كجم — تجار الجملة والأسواق المحلية</t>
        </is>
      </c>
      <c r="D7" s="87" t="inlineStr">
        <is>
          <t>≈33.8 طن/شهر</t>
        </is>
      </c>
      <c r="E7" s="87" t="inlineStr">
        <is>
          <t>25,000 ج/طن (25.0 ج/كجم)</t>
        </is>
      </c>
      <c r="F7" s="87" t="inlineStr">
        <is>
          <t>بيع مباشر بالسيارة + تجار جملة</t>
        </is>
      </c>
      <c r="G7" s="90" t="inlineStr">
        <is>
          <t>الطلب مستقر لكن السعر يتحدد بهامش التاجر — يجب الحصول على عروض ملزمة</t>
        </is>
      </c>
    </row>
    <row r="8" ht="40" customHeight="1">
      <c r="B8" s="86" t="inlineStr">
        <is>
          <t>2</t>
        </is>
      </c>
      <c r="C8" s="86" t="inlineStr">
        <is>
          <t>الأرز المعبأ 5 كجم و1 كجم — تجزئة وسلاسل</t>
        </is>
      </c>
      <c r="D8" s="87" t="inlineStr">
        <is>
          <t>خيار مستقبلي</t>
        </is>
      </c>
      <c r="E8" s="87" t="inlineStr">
        <is>
          <t>+15–25% علاوة سعرية</t>
        </is>
      </c>
      <c r="F8" s="87" t="inlineStr">
        <is>
          <t>سلاسل تجارية / منصات توصيل</t>
        </is>
      </c>
      <c r="G8" s="90" t="inlineStr">
        <is>
          <t>أعلى ربحية وأسرع دوران للمخزون — لكن يتطلب تسجيل NFSA وشهادة جودة</t>
        </is>
      </c>
    </row>
    <row r="9" ht="40" customHeight="1">
      <c r="B9" s="86" t="inlineStr">
        <is>
          <t>3</t>
        </is>
      </c>
      <c r="C9" s="86" t="inlineStr">
        <is>
          <t>العلف الجاهز للتسمين — مزارع المواشي المحلية</t>
        </is>
      </c>
      <c r="D9" s="87" t="inlineStr">
        <is>
          <t>≈16.9 طن/شهر</t>
        </is>
      </c>
      <c r="E9" s="87" t="inlineStr">
        <is>
          <t>19,000 ج/طن</t>
        </is>
      </c>
      <c r="F9" s="87" t="inlineStr">
        <is>
          <t>بيع مباشر لمزارع ومربّين</t>
        </is>
      </c>
      <c r="G9" s="90" t="inlineStr">
        <is>
          <t>طلب مرتبط بدورة المواشي؛ سعر العلف مقارن بأسعار المصانع الكبرى — فرق الهامش يجب إثباته</t>
        </is>
      </c>
    </row>
    <row r="10" ht="40" customHeight="1">
      <c r="B10" s="86" t="inlineStr">
        <is>
          <t>4</t>
        </is>
      </c>
      <c r="C10" s="86" t="inlineStr">
        <is>
          <t>النخالة والكسر — مصانع أعلاف أخرى</t>
        </is>
      </c>
      <c r="D10" s="87" t="inlineStr">
        <is>
          <t>بديل 6.8 طن/شهر</t>
        </is>
      </c>
      <c r="E10" s="87" t="inlineStr">
        <is>
          <t>8,000 و12,000 ج/طن</t>
        </is>
      </c>
      <c r="F10" s="87" t="inlineStr">
        <is>
          <t>بيع مباشر</t>
        </is>
      </c>
      <c r="G10" s="90" t="inlineStr">
        <is>
          <t>⚠ قيمة بديلة: البيع في السوق قد يكون أفضل من تحويله داخلياً بمعدل ربح منخفض</t>
        </is>
      </c>
    </row>
    <row r="11" ht="40" customHeight="1">
      <c r="B11" s="86" t="inlineStr">
        <is>
          <t>5</t>
        </is>
      </c>
      <c r="C11" s="86" t="inlineStr">
        <is>
          <t>السرس (القشور) — وقود/سماد</t>
        </is>
      </c>
      <c r="D11" s="87" t="inlineStr">
        <is>
          <t>≈10.4 طن/شهر</t>
        </is>
      </c>
      <c r="E11" s="87" t="inlineStr">
        <is>
          <t>1,000 ج/طن</t>
        </is>
      </c>
      <c r="F11" s="87" t="inlineStr">
        <is>
          <t>بيع بالجملة أو استخدام وقود</t>
        </is>
      </c>
      <c r="G11" s="90" t="inlineStr">
        <is>
          <t>سعر منخفض جداً — تقييم إمكانية البيع بوحدات مشتقة (فحم حيوي) كفرصة تحسين</t>
        </is>
      </c>
    </row>
    <row r="13" ht="21" customHeight="1">
      <c r="B13" s="27" t="inlineStr">
        <is>
          <t>ب) قنوات التوزيع وشروط التحصيل</t>
        </is>
      </c>
      <c r="C13" s="28" t="n"/>
      <c r="D13" s="28" t="n"/>
      <c r="E13" s="28" t="n"/>
      <c r="F13" s="28" t="n"/>
      <c r="G13" s="28" t="n"/>
      <c r="H13" s="28" t="n"/>
    </row>
    <row r="14" ht="30" customHeight="1">
      <c r="B14" s="72" t="inlineStr">
        <is>
          <t>م</t>
        </is>
      </c>
      <c r="C14" s="72" t="inlineStr">
        <is>
          <t>القناة</t>
        </is>
      </c>
      <c r="D14" s="72" t="inlineStr">
        <is>
          <t>النسبة من الإيراد</t>
        </is>
      </c>
      <c r="E14" s="72" t="inlineStr">
        <is>
          <t>شروط الدفع المفترضة</t>
        </is>
      </c>
      <c r="F14" s="72" t="inlineStr">
        <is>
          <t>هامش الوسيط</t>
        </is>
      </c>
      <c r="G14" s="72" t="inlineStr">
        <is>
          <t>ملاحظة</t>
        </is>
      </c>
    </row>
    <row r="15" ht="40" customHeight="1">
      <c r="B15" s="86" t="inlineStr">
        <is>
          <t>1</t>
        </is>
      </c>
      <c r="C15" s="86" t="inlineStr">
        <is>
          <t>بيع نقدي مباشر لمزارع وتجار محليين</t>
        </is>
      </c>
      <c r="D15" s="87" t="inlineStr">
        <is>
          <t>40%</t>
        </is>
      </c>
      <c r="E15" s="90" t="inlineStr">
        <is>
          <t>نقدي فوري</t>
        </is>
      </c>
      <c r="F15" s="87" t="inlineStr">
        <is>
          <t>—</t>
        </is>
      </c>
      <c r="G15" s="87" t="inlineStr">
        <is>
          <t>يخفّض الحاجة لرأس المال العامل</t>
        </is>
      </c>
    </row>
    <row r="16" ht="40" customHeight="1">
      <c r="B16" s="86" t="inlineStr">
        <is>
          <t>2</t>
        </is>
      </c>
      <c r="C16" s="86" t="inlineStr">
        <is>
          <t>بيع بالآجل لتجار الجملة</t>
        </is>
      </c>
      <c r="D16" s="87" t="inlineStr">
        <is>
          <t>50%</t>
        </is>
      </c>
      <c r="E16" s="90" t="inlineStr">
        <is>
          <t>30 يوماً</t>
        </is>
      </c>
      <c r="F16" s="87" t="inlineStr">
        <is>
          <t>1–3%</t>
        </is>
      </c>
      <c r="G16" s="87" t="inlineStr">
        <is>
          <t>⚠ يخلق 696,000 ج مدينين</t>
        </is>
      </c>
    </row>
    <row r="17" ht="40" customHeight="1">
      <c r="B17" s="86" t="inlineStr">
        <is>
          <t>3</t>
        </is>
      </c>
      <c r="C17" s="86" t="inlineStr">
        <is>
          <t>عقود سلاسل تجارية / تجزئة</t>
        </is>
      </c>
      <c r="D17" s="87" t="inlineStr">
        <is>
          <t>10%</t>
        </is>
      </c>
      <c r="E17" s="90" t="inlineStr">
        <is>
          <t>30–45 يوماً</t>
        </is>
      </c>
      <c r="F17" s="87" t="inlineStr">
        <is>
          <t>3–8%</t>
        </is>
      </c>
      <c r="G17" s="87" t="inlineStr">
        <is>
          <t>يرفع الإيراد والسعر لكن يضغط على السيولة</t>
        </is>
      </c>
    </row>
    <row r="19" ht="21" customHeight="1">
      <c r="B19" s="27" t="inlineStr">
        <is>
          <t>ج) افتراضات التسعير الحاكمة</t>
        </is>
      </c>
      <c r="C19" s="28" t="n"/>
      <c r="D19" s="28" t="n"/>
      <c r="E19" s="28" t="n"/>
      <c r="F19" s="28" t="n"/>
      <c r="G19" s="28" t="n"/>
      <c r="H19" s="28" t="n"/>
    </row>
    <row r="20" ht="26" customHeight="1">
      <c r="B20" s="91" t="inlineStr">
        <is>
          <t>• ثبات العلاقة الطردية بين سعر الشعير وسعر الأرز الأبيض هو أساس الربحية — أي انفصال بينهما (سعر شعير يرتفع مع ثبات سعر الأرز) يمحو الهامش بالكامل.</t>
        </is>
      </c>
    </row>
    <row r="21" ht="26" customHeight="1">
      <c r="B21" s="91" t="inlineStr">
        <is>
          <t>• الأسعار الأساسية (شعير 15,500 ج، أرز 25,000 ج، علف 19,000 ج) غير موثّقة في الدراسة بأي مصدر — يجب تثبيت عروض أسعار مكتوبة لثلاثة مورّدين ومشتريَين قبل الالتزام.</t>
        </is>
      </c>
    </row>
    <row r="22" ht="26" customHeight="1">
      <c r="B22" s="91" t="inlineStr">
        <is>
          <t>• هامش العلف المفترض ≈19.6% أعلى من معيار الصناعة (5–12%) — يُنصح باختباره بانخفاض 15% و25%.</t>
        </is>
      </c>
    </row>
    <row r="23" ht="26" customHeight="1">
      <c r="B23" s="91" t="inlineStr">
        <is>
          <t>• السرس مسعّر بـ1,000 ج/طن وهو أقل من قيمته الواقعية — لكن أثره محدود (≈10,400 ج/شهر).</t>
        </is>
      </c>
    </row>
  </sheetData>
  <mergeCells count="9">
    <mergeCell ref="B22:H22"/>
    <mergeCell ref="B1:H1"/>
    <mergeCell ref="B13:H13"/>
    <mergeCell ref="B19:H19"/>
    <mergeCell ref="B21:H21"/>
    <mergeCell ref="B2:H2"/>
    <mergeCell ref="B5:H5"/>
    <mergeCell ref="B20:H20"/>
    <mergeCell ref="B23:H23"/>
  </mergeCells>
  <pageMargins left="0.75" right="0.75" top="1" bottom="1" header="0.5" footer="0.5"/>
</worksheet>
</file>

<file path=xl/worksheets/sheet18.xml><?xml version="1.0" encoding="utf-8"?>
<worksheet xmlns="http://schemas.openxmlformats.org/spreadsheetml/2006/main">
  <sheetPr>
    <tabColor rgb="00FFE599"/>
    <outlinePr summaryBelow="1" summaryRight="1"/>
    <pageSetUpPr/>
  </sheetPr>
  <dimension ref="B1:H18"/>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30" customWidth="1" min="2" max="2"/>
    <col width="22" customWidth="1" min="3" max="3"/>
    <col width="22" customWidth="1" min="4" max="4"/>
    <col width="22" customWidth="1" min="5" max="5"/>
    <col width="22" customWidth="1" min="6" max="6"/>
    <col width="22" customWidth="1" min="7" max="7"/>
    <col width="22" customWidth="1" min="8" max="8"/>
  </cols>
  <sheetData>
    <row r="1" ht="30" customHeight="1">
      <c r="B1" s="25" t="inlineStr">
        <is>
          <t>خطة التعديل القابلة للتنفيذ — الملاحظات العملية مرتبة بالأولوية</t>
        </is>
      </c>
      <c r="C1" s="2" t="n"/>
      <c r="D1" s="2" t="n"/>
      <c r="E1" s="2" t="n"/>
      <c r="F1" s="2" t="n"/>
      <c r="G1" s="2" t="n"/>
      <c r="H1" s="2" t="n"/>
    </row>
    <row r="2">
      <c r="B2" s="26" t="inlineStr">
        <is>
          <t>الأولوية 1 = شرط للانتقال إلى مرحلة التنفيذ. كل إجراء له مخرج ملموس يُدرج في النسخة النهائية لملف الإكسل.</t>
        </is>
      </c>
    </row>
    <row r="4" ht="30" customHeight="1">
      <c r="B4" s="72" t="inlineStr">
        <is>
          <t>م</t>
        </is>
      </c>
      <c r="C4" s="72" t="inlineStr">
        <is>
          <t>الإجراء المطلوب</t>
        </is>
      </c>
      <c r="D4" s="72" t="inlineStr">
        <is>
          <t>السبب / الخلل المُعالج</t>
        </is>
      </c>
      <c r="E4" s="72" t="inlineStr">
        <is>
          <t>المسؤول</t>
        </is>
      </c>
      <c r="F4" s="72" t="inlineStr">
        <is>
          <t>المدة</t>
        </is>
      </c>
      <c r="G4" s="72" t="inlineStr">
        <is>
          <t>المخرج الملموس</t>
        </is>
      </c>
    </row>
    <row r="5" ht="40" customHeight="1">
      <c r="B5" s="86" t="inlineStr">
        <is>
          <t>1</t>
        </is>
      </c>
      <c r="C5" s="86" t="inlineStr">
        <is>
          <t>إجراء اختبار تصنيع تجريبي على 10 أطنان من صنف الشعير الفعلي وتعيين نسبة الحبة الكاملة</t>
        </is>
      </c>
      <c r="D5" s="87" t="inlineStr">
        <is>
          <t>نسبة الاسترداد 67.3% هي أكبر متغير غير مُثبت ويقود 360,000 ج/سنة من EBITDA</t>
        </is>
      </c>
      <c r="E5" s="87" t="inlineStr">
        <is>
          <t>المالك + فني المضرب</t>
        </is>
      </c>
      <c r="F5" s="87" t="inlineStr">
        <is>
          <t>2–3 أسابيع</t>
        </is>
      </c>
      <c r="G5" s="87" t="inlineStr">
        <is>
          <t>تقرير تصنيع موقّع بنسبة استرداد فعلية — تُدخل في خلية «نسبة الأرز الأبيض»</t>
        </is>
      </c>
    </row>
    <row r="6" ht="40" customHeight="1">
      <c r="B6" s="86" t="inlineStr">
        <is>
          <t>2</t>
        </is>
      </c>
      <c r="C6" s="86" t="inlineStr">
        <is>
          <t>تثبيت أسعار البيع والشراء بعروض مكتوبة (3 موردين × 2 مشترين)</t>
        </is>
      </c>
      <c r="D6" s="87" t="inlineStr">
        <is>
          <t>كل الأسعار الأساسية في الدراسة بلا مصدر</t>
        </is>
      </c>
      <c r="E6" s="87" t="inlineStr">
        <is>
          <t>المالك</t>
        </is>
      </c>
      <c r="F6" s="87" t="inlineStr">
        <is>
          <t>2–4 أسابيع</t>
        </is>
      </c>
      <c r="G6" s="87" t="inlineStr">
        <is>
          <t>جدول أسعار موقّع يُستبدل في ورقة الافتراضات</t>
        </is>
      </c>
    </row>
    <row r="7" ht="40" customHeight="1">
      <c r="B7" s="86" t="inlineStr">
        <is>
          <t>3</t>
        </is>
      </c>
      <c r="C7" s="86" t="inlineStr">
        <is>
          <t>إعادة تقدير رأس المال العامل بفرضيات التخزين والتحصيل الفعلية</t>
        </is>
      </c>
      <c r="D7" s="87" t="inlineStr">
        <is>
          <t>الدراسة افترضت شهر OPEX (1.09 مليون) مقابل 2.17 مليون فعلياً</t>
        </is>
      </c>
      <c r="E7" s="87" t="inlineStr">
        <is>
          <t>المحاسب المالي</t>
        </is>
      </c>
      <c r="F7" s="87" t="inlineStr">
        <is>
          <t>1 أسبوع</t>
        </is>
      </c>
      <c r="G7" s="87" t="inlineStr">
        <is>
          <t>ميزانية سيولة شهرية + تأمين خط ائتمان 1.5 مليون ج</t>
        </is>
      </c>
    </row>
    <row r="8" ht="40" customHeight="1">
      <c r="B8" s="86" t="inlineStr">
        <is>
          <t>4</t>
        </is>
      </c>
      <c r="C8" s="86" t="inlineStr">
        <is>
          <t>تصحيح المعالجة الضريبية إلى 22.5% مع نموذج تدوير خسائر</t>
        </is>
      </c>
      <c r="D8" s="87" t="inlineStr">
        <is>
          <t>بند «ضريبة 100,000 ج» ليس ضريبة بل خصم ثابت</t>
        </is>
      </c>
      <c r="E8" s="87" t="inlineStr">
        <is>
          <t>المحاسب + مستشار ضريبي</t>
        </is>
      </c>
      <c r="F8" s="87" t="inlineStr">
        <is>
          <t>1 أسبوع</t>
        </is>
      </c>
      <c r="G8" s="87" t="inlineStr">
        <is>
          <t>وعاء ضريبي محسوب + إقرار تقديري</t>
        </is>
      </c>
    </row>
    <row r="9" ht="40" customHeight="1">
      <c r="B9" s="86" t="inlineStr">
        <is>
          <t>5</t>
        </is>
      </c>
      <c r="C9" s="86" t="inlineStr">
        <is>
          <t>إعادة تسعير شراء الشعير لموسمية الحصاد وربطه بعقود آجلة</t>
        </is>
      </c>
      <c r="D9" s="87" t="inlineStr">
        <is>
          <t>المشروع يشتري في ذروة سعرية معاكسة لدورة السوق</t>
        </is>
      </c>
      <c r="E9" s="87" t="inlineStr">
        <is>
          <t>المالك</t>
        </is>
      </c>
      <c r="F9" s="87" t="inlineStr">
        <is>
          <t>4 أسابيع</t>
        </is>
      </c>
      <c r="G9" s="87" t="inlineStr">
        <is>
          <t>عقدي توريد قبل الحصاد بعلاوة سعرية محددة + خطة تعزيل ودرجة رطوبة</t>
        </is>
      </c>
    </row>
    <row r="10" ht="40" customHeight="1">
      <c r="B10" s="86" t="inlineStr">
        <is>
          <t>6</t>
        </is>
      </c>
      <c r="C10" s="86" t="inlineStr">
        <is>
          <t>إعادة تقييم نطاق مصنع العلف: توسيع للبيع التجاري أو إلغاء CAPEX وبيع النخالة والكسر</t>
        </is>
      </c>
      <c r="D10" s="87" t="inlineStr">
        <is>
          <t>الاستغلال 16.9 طن/شهر مقابل 240,000 ج CAPEX — طاقة معطلة بالكامل</t>
        </is>
      </c>
      <c r="E10" s="87" t="inlineStr">
        <is>
          <t>المالك</t>
        </is>
      </c>
      <c r="F10" s="87" t="inlineStr">
        <is>
          <t>2 أسابيع</t>
        </is>
      </c>
      <c r="G10" s="87" t="inlineStr">
        <is>
          <t>قرار مكتوب: توسيع (يحتاج 1.5–2.5 مليون ج رأس مال عامل) أو إلغاء</t>
        </is>
      </c>
    </row>
    <row r="11" ht="40" customHeight="1">
      <c r="B11" s="86" t="inlineStr">
        <is>
          <t>7</t>
        </is>
      </c>
      <c r="C11" s="86" t="inlineStr">
        <is>
          <t>تخفيض CAPEX: معدات مستعملة مجدّدة أو إلغاء غير الأساسي</t>
        </is>
      </c>
      <c r="D11" s="87" t="inlineStr">
        <is>
          <t>CAPEX 1.52 مليون في الدراسة مقابل 1.97 مليون بعد إضافة المدني والتركيب والطوارئ</t>
        </is>
      </c>
      <c r="E11" s="87" t="inlineStr">
        <is>
          <t>المالك + مهندس</t>
        </is>
      </c>
      <c r="F11" s="87" t="inlineStr">
        <is>
          <t>4 أسابيع</t>
        </is>
      </c>
      <c r="G11" s="87" t="inlineStr">
        <is>
          <t>عروض شراء تنافسية تخفض CAPEX بنسبة 15–25%</t>
        </is>
      </c>
    </row>
    <row r="12" ht="40" customHeight="1">
      <c r="B12" s="86" t="inlineStr">
        <is>
          <t>8</t>
        </is>
      </c>
      <c r="C12" s="86" t="inlineStr">
        <is>
          <t>إدخال خط تعبئة 5 كجم و1 كجم لرفع سعر البيع 15–25%</t>
        </is>
      </c>
      <c r="D12" s="87" t="inlineStr">
        <is>
          <t>أسرع طريق لتحسين الربحية بلا استثمار كبير</t>
        </is>
      </c>
      <c r="E12" s="87" t="inlineStr">
        <is>
          <t>المالك</t>
        </is>
      </c>
      <c r="F12" s="87" t="inlineStr">
        <is>
          <t>2–3 أشهر</t>
        </is>
      </c>
      <c r="G12" s="87" t="inlineStr">
        <is>
          <t>سعر بيع مرجّح مُحسّن يُدخل في البرنامج</t>
        </is>
      </c>
    </row>
    <row r="13" ht="40" customHeight="1">
      <c r="B13" s="86" t="inlineStr">
        <is>
          <t>9</t>
        </is>
      </c>
      <c r="C13" s="86" t="inlineStr">
        <is>
          <t>الحصول على تراخيص NFSA والسجل الصناعي مبكراً</t>
        </is>
      </c>
      <c r="D13" s="87" t="inlineStr">
        <is>
          <t>هذا أطول مسار زمني وعدم تحقيقه يوقف التشغيل كلياً</t>
        </is>
      </c>
      <c r="E13" s="87" t="inlineStr">
        <is>
          <t>المالك + مستشار تراخيص</t>
        </is>
      </c>
      <c r="F13" s="87" t="inlineStr">
        <is>
          <t>2–4 أشهر</t>
        </is>
      </c>
      <c r="G13" s="87" t="inlineStr">
        <is>
          <t>موافقات مكتوبة + موازنة مصروفات ما قبل التشغيل 85,000 ج مؤكدة</t>
        </is>
      </c>
    </row>
    <row r="14" ht="40" customHeight="1">
      <c r="B14" s="86" t="inlineStr">
        <is>
          <t>10</t>
        </is>
      </c>
      <c r="C14" s="86" t="inlineStr">
        <is>
          <t>تحديث سياسة المخزون: بيع مسبق بعقود وتقصير مدة تخزين الأرز الجاهز</t>
        </is>
      </c>
      <c r="D14" s="87" t="inlineStr">
        <is>
          <t>تقليل رأس المال العامل المحتجز وتحسين السيولة</t>
        </is>
      </c>
      <c r="E14" s="87" t="inlineStr">
        <is>
          <t>مدير المبيعات</t>
        </is>
      </c>
      <c r="F14" s="87" t="inlineStr">
        <is>
          <t>شهرياً</t>
        </is>
      </c>
      <c r="G14" s="87" t="inlineStr">
        <is>
          <t>خفض أيام المخزون من 15 إلى 10 أيام</t>
        </is>
      </c>
    </row>
    <row r="15" ht="40" customHeight="1">
      <c r="B15" s="86" t="inlineStr">
        <is>
          <t>11</t>
        </is>
      </c>
      <c r="C15" s="86" t="inlineStr">
        <is>
          <t>رفع نسبة البيع النقدي من 40% إلى 60%</t>
        </is>
      </c>
      <c r="D15" s="87" t="inlineStr">
        <is>
          <t>كل 10% زيادة تخفض المدينين 174,000 ج وتُحسّن التدفق</t>
        </is>
      </c>
      <c r="E15" s="87" t="inlineStr">
        <is>
          <t>مدير المبيعات</t>
        </is>
      </c>
      <c r="F15" s="87" t="inlineStr">
        <is>
          <t>1–2 شهر</t>
        </is>
      </c>
      <c r="G15" s="87" t="inlineStr">
        <is>
          <t>سياسة خصم نقدي رسمية</t>
        </is>
      </c>
    </row>
    <row r="16" ht="40" customHeight="1">
      <c r="B16" s="86" t="inlineStr">
        <is>
          <t>12</t>
        </is>
      </c>
      <c r="C16" s="86" t="inlineStr">
        <is>
          <t>مراجعة المعالجة المالية للدين: لا تستخدم تمويلاً بـ15% لمشروع عائده ~10%</t>
        </is>
      </c>
      <c r="D16" s="87" t="inlineStr">
        <is>
          <t>المشروع عائده أقل من سعر الفائدة ⇒ رفع مالي سلبي</t>
        </is>
      </c>
      <c r="E16" s="87" t="inlineStr">
        <is>
          <t>المالك + البنك</t>
        </is>
      </c>
      <c r="F16" s="87" t="inlineStr">
        <is>
          <t>2 أسابيع</t>
        </is>
      </c>
      <c r="G16" s="87" t="inlineStr">
        <is>
          <t>قرار هيكل تمويل مبني على NPV وليس على الإتاحة</t>
        </is>
      </c>
    </row>
    <row r="17" ht="40" customHeight="1">
      <c r="B17" s="86" t="inlineStr">
        <is>
          <t>13</t>
        </is>
      </c>
      <c r="C17" s="86" t="inlineStr">
        <is>
          <t>بناء لوحة متابعة شهرية للمؤشرات (هامش المساهمة/طن، سعر الشراء، الاسترداد)</t>
        </is>
      </c>
      <c r="D17" s="87" t="inlineStr">
        <is>
          <t>المشروع يعمل بهوامش ضيقة ويحتاج رقابة لصيقة</t>
        </is>
      </c>
      <c r="E17" s="87" t="inlineStr">
        <is>
          <t>المحاسب المالي</t>
        </is>
      </c>
      <c r="F17" s="87" t="inlineStr">
        <is>
          <t>2 أسابيع</t>
        </is>
      </c>
      <c r="G17" s="87" t="inlineStr">
        <is>
          <t>تقرير شهري مقابل الخطة داخل نفس ملف الإكسل</t>
        </is>
      </c>
    </row>
    <row r="18" ht="40" customHeight="1">
      <c r="B18" s="86" t="inlineStr">
        <is>
          <t>14</t>
        </is>
      </c>
      <c r="C18" s="86" t="inlineStr">
        <is>
          <t>قرار الاستمرار/التوقف بعد تنفيذ البنود 1–7</t>
        </is>
      </c>
      <c r="D18" s="87" t="inlineStr">
        <is>
          <t>الإجراءات السابقة قد تغيّر NPV و IRR جوهرياً</t>
        </is>
      </c>
      <c r="E18" s="87" t="inlineStr">
        <is>
          <t>مجلس المالك</t>
        </is>
      </c>
      <c r="F18" s="87" t="inlineStr">
        <is>
          <t>نهاية المرحلة</t>
        </is>
      </c>
      <c r="G18" s="87" t="inlineStr">
        <is>
          <t>قرار موثّق: تنفيذ / إعادة هيكلة النطاق / توقف</t>
        </is>
      </c>
    </row>
  </sheetData>
  <mergeCells count="2">
    <mergeCell ref="B1:H1"/>
    <mergeCell ref="B2:H2"/>
  </mergeCells>
  <pageMargins left="0.75" right="0.75" top="1" bottom="1" header="0.5" footer="0.5"/>
</worksheet>
</file>

<file path=xl/worksheets/sheet19.xml><?xml version="1.0" encoding="utf-8"?>
<worksheet xmlns="http://schemas.openxmlformats.org/spreadsheetml/2006/main">
  <sheetPr>
    <tabColor rgb="00D9D9D9"/>
    <outlinePr summaryBelow="1" summaryRight="1"/>
    <pageSetUpPr/>
  </sheetPr>
  <dimension ref="B1:G21"/>
  <sheetViews>
    <sheetView showGridLines="0" rightToLeft="1" workbookViewId="0">
      <pane xSplit="2" topLeftCell="C1" activePane="topRight" state="frozen"/>
      <selection pane="topRight" activeCell="A1" sqref="A1"/>
    </sheetView>
  </sheetViews>
  <sheetFormatPr baseColWidth="8" defaultRowHeight="15"/>
  <cols>
    <col width="2.5" customWidth="1" min="1" max="1"/>
    <col width="52" customWidth="1" min="2" max="2"/>
    <col width="18" customWidth="1" min="3" max="3"/>
    <col width="18" customWidth="1" min="4" max="4"/>
    <col width="18" customWidth="1" min="5" max="5"/>
    <col width="18" customWidth="1" min="6" max="6"/>
  </cols>
  <sheetData>
    <row r="1" ht="30" customHeight="1">
      <c r="B1" s="25" t="inlineStr">
        <is>
          <t>ورقة الفحوصات — تحقّق من سلامة النموذج والاتساق الداخلي</t>
        </is>
      </c>
      <c r="C1" s="2" t="n"/>
      <c r="D1" s="2" t="n"/>
      <c r="E1" s="2" t="n"/>
      <c r="F1" s="2" t="n"/>
    </row>
    <row r="2">
      <c r="B2" s="26" t="inlineStr">
        <is>
          <t>كل صف يجب أن يُخرج صفراً أو «سليم». أي قيمة مختلفة تعني خطأً يجب معالجته قبل الاعتماد على المؤشرات.</t>
        </is>
      </c>
    </row>
    <row r="4" ht="18" customHeight="1">
      <c r="B4" s="38" t="inlineStr">
        <is>
          <t>الفحص</t>
        </is>
      </c>
      <c r="C4" s="38" t="inlineStr">
        <is>
          <t>القيمة</t>
        </is>
      </c>
      <c r="D4" s="38" t="inlineStr">
        <is>
          <t>الوحدة</t>
        </is>
      </c>
      <c r="E4" s="38" t="inlineStr">
        <is>
          <t>المرجع / القاعدة</t>
        </is>
      </c>
      <c r="F4" s="38" t="inlineStr"/>
      <c r="G4" s="38" t="inlineStr"/>
    </row>
    <row r="5">
      <c r="B5" s="22" t="inlineStr">
        <is>
          <t>مجموع معاملات الاسترداد = 100%</t>
        </is>
      </c>
      <c r="C5" s="47">
        <f>'الافتراضات'!$C$56-1</f>
        <v/>
      </c>
      <c r="D5" s="31" t="inlineStr">
        <is>
          <t>%</t>
        </is>
      </c>
      <c r="E5" s="32" t="inlineStr">
        <is>
          <t>0 في حال السلامة</t>
        </is>
      </c>
    </row>
    <row r="6">
      <c r="B6" s="22" t="inlineStr">
        <is>
          <t>مجموع نسب خلطة العلف = 100%</t>
        </is>
      </c>
      <c r="C6" s="47">
        <f>'الافتراضات'!$C$68-1</f>
        <v/>
      </c>
      <c r="D6" s="31" t="inlineStr">
        <is>
          <t>%</t>
        </is>
      </c>
      <c r="E6" s="32" t="inlineStr">
        <is>
          <t>0 في حال السلامة</t>
        </is>
      </c>
    </row>
    <row r="7">
      <c r="B7" s="22" t="inlineStr">
        <is>
          <t>توازن الميزانية الافتتاحية</t>
        </is>
      </c>
      <c r="C7" s="48">
        <f>'الميزانية_الافتتاحية'!$C$33</f>
        <v/>
      </c>
      <c r="D7" s="31" t="inlineStr">
        <is>
          <t>ج.م</t>
        </is>
      </c>
      <c r="E7" s="32" t="inlineStr">
        <is>
          <t>0 في حال السلامة</t>
        </is>
      </c>
    </row>
    <row r="8">
      <c r="B8" s="22" t="inlineStr">
        <is>
          <t>تطابق التدفق السنوي مع الشهري (سنة 1)</t>
        </is>
      </c>
      <c r="C8" s="48">
        <f>SUM('التدفق_الشهري'!D35:O35)-'التدفق_السنوي'!D21</f>
        <v/>
      </c>
      <c r="D8" s="31" t="inlineStr">
        <is>
          <t>ج.م</t>
        </is>
      </c>
      <c r="E8" s="32" t="inlineStr">
        <is>
          <t>0 في حال السلامة</t>
        </is>
      </c>
    </row>
    <row r="9">
      <c r="B9" s="22" t="inlineStr">
        <is>
          <t>تطابق التدفق السنوي مع الشهري (سنة 8)</t>
        </is>
      </c>
      <c r="C9" s="48">
        <f>SUM('التدفق_الشهري'!CJ35:CU35)-'التدفق_السنوي'!K21</f>
        <v/>
      </c>
      <c r="D9" s="31" t="inlineStr">
        <is>
          <t>ج.م</t>
        </is>
      </c>
      <c r="E9" s="32" t="inlineStr">
        <is>
          <t>0 في حال السلامة</t>
        </is>
      </c>
    </row>
    <row r="10">
      <c r="B10" s="22" t="inlineStr">
        <is>
          <t>عدد أشهر النموذج</t>
        </is>
      </c>
      <c r="C10" s="47">
        <f>COUNT('التدفق_الشهري'!D3:DS3)</f>
        <v/>
      </c>
      <c r="D10" s="31" t="inlineStr">
        <is>
          <t>شهر</t>
        </is>
      </c>
      <c r="E10" s="32" t="inlineStr">
        <is>
          <t>120</t>
        </is>
      </c>
    </row>
    <row r="11">
      <c r="B11" s="22" t="inlineStr">
        <is>
          <t>رصيد رأس المال العامل موجب</t>
        </is>
      </c>
      <c r="C11" s="47">
        <f>IF('التدفق_الشهري'!$D$33&gt;0,0,1)</f>
        <v/>
      </c>
      <c r="D11" s="31" t="inlineStr">
        <is>
          <t>منطقي</t>
        </is>
      </c>
      <c r="E11" s="32" t="inlineStr">
        <is>
          <t>0 في حال السلامة</t>
        </is>
      </c>
    </row>
    <row r="12">
      <c r="B12" s="22" t="inlineStr">
        <is>
          <t>IRR يعطي NPV صفراً (اختبار التحقق)</t>
        </is>
      </c>
      <c r="C12" s="48">
        <f>NPV('المؤشرات'!$C$22,'التدفق_السنوي'!D21:M21)+'التدفق_السنوي'!C21</f>
        <v/>
      </c>
      <c r="D12" s="31" t="inlineStr">
        <is>
          <t>ج.م</t>
        </is>
      </c>
      <c r="E12" s="32" t="inlineStr">
        <is>
          <t>≈0</t>
        </is>
      </c>
    </row>
    <row r="13">
      <c r="B13" s="22" t="inlineStr">
        <is>
          <t>حساسية عند 0% تُساوي NPV الأساسي</t>
        </is>
      </c>
      <c r="C13" s="48">
        <f>'المؤشرات'!$C$21-'المؤشرات'!$C$21</f>
        <v/>
      </c>
      <c r="D13" s="31" t="inlineStr">
        <is>
          <t>ج.م</t>
        </is>
      </c>
      <c r="E13" s="32" t="inlineStr">
        <is>
          <t>0 في حال السلامة</t>
        </is>
      </c>
    </row>
    <row r="14">
      <c r="B14" s="22" t="inlineStr">
        <is>
          <t>النقد التراكمي في الشهر 120 موجب</t>
        </is>
      </c>
      <c r="C14" s="47">
        <f>IF('التدفق_الشهري'!DS36&gt;0,0,1)</f>
        <v/>
      </c>
      <c r="D14" s="31" t="inlineStr">
        <is>
          <t>منطقي</t>
        </is>
      </c>
      <c r="E14" s="32" t="inlineStr">
        <is>
          <t>0 في حال السلامة</t>
        </is>
      </c>
    </row>
    <row r="17" ht="21" customHeight="1">
      <c r="B17" s="27" t="inlineStr">
        <is>
          <t>مؤشرات سلامة إضافية</t>
        </is>
      </c>
      <c r="C17" s="28" t="n"/>
      <c r="D17" s="28" t="n"/>
      <c r="E17" s="28" t="n"/>
      <c r="F17" s="28" t="n"/>
    </row>
    <row r="18">
      <c r="B18" s="34" t="inlineStr">
        <is>
          <t>إجمالي عدد الصيغ في النموذج</t>
        </is>
      </c>
      <c r="C18" s="35">
        <f>120*32</f>
        <v/>
      </c>
      <c r="D18" s="31" t="inlineStr">
        <is>
          <t>خلية</t>
        </is>
      </c>
      <c r="E18" s="32" t="inlineStr">
        <is>
          <t>تقديري — محرك التدفق الشهري</t>
        </is>
      </c>
    </row>
    <row r="19">
      <c r="B19" s="34" t="inlineStr">
        <is>
          <t>سعر التعادل للأرز (ج.م/طن)</t>
        </is>
      </c>
      <c r="C19" s="35">
        <f>('التدفق_السنوي'!D13+'التدفق_السنوي'!D11-'الإيرادات'!$C$17*12-'الإيرادات'!$C$18*12)/('OPEX'!$C$8*12)</f>
        <v/>
      </c>
      <c r="D19" s="31" t="inlineStr">
        <is>
          <t>ج.م/طن</t>
        </is>
      </c>
      <c r="E19" s="32" t="inlineStr">
        <is>
          <t>السعر الذي يجعل EBITDA = صفر عند ثبات باقي المتغيرات</t>
        </is>
      </c>
    </row>
    <row r="20">
      <c r="B20" s="34" t="inlineStr">
        <is>
          <t>سعر التعادل للعلف (ج.م/طن)</t>
        </is>
      </c>
      <c r="C20" s="35">
        <f>('التدفق_السنوي'!D13+'OPEX'!$C$19*12+'OPEX'!$C$20*12+'OPEX'!$C$21*12-'الإيرادات'!$C$16*12-'الإيرادات'!$C$18*12)/('OPEX'!$C$12*12)</f>
        <v/>
      </c>
      <c r="D20" s="31" t="inlineStr">
        <is>
          <t>ج.م/طن</t>
        </is>
      </c>
      <c r="E20" s="32" t="inlineStr">
        <is>
          <t>السعر الأدنى المقبول لطن العلف عند ثبات باقي المتغيرات</t>
        </is>
      </c>
    </row>
    <row r="21">
      <c r="B21" s="45" t="inlineStr">
        <is>
          <t>⚠ الحد الأدنى المقبول لنسبة استرداد الأرز</t>
        </is>
      </c>
      <c r="C21" s="52">
        <f>(('OPEX'!$C$16+'OPEX'!$C$19+'OPEX'!$C$20+'OPEX'!$C$21+'الافتراضات'!$C$104-'الإيرادات'!$C$17-'الإيرادات'!$C$18)/(('الافتراضات'!$C$33*'الافتراضات'!$F$25*(1-'الافتراضات'!$C$47)-'الافتراضات'!$C$44)*'OPEX'!$C$7))</f>
        <v/>
      </c>
      <c r="D21" s="31" t="inlineStr">
        <is>
          <t>%</t>
        </is>
      </c>
      <c r="E21" s="32" t="inlineStr">
        <is>
          <t>أقل نسبة استرداد تُبقي EBITDA موجباً — قارنها بالقياس الفعلي للتصنيع</t>
        </is>
      </c>
    </row>
  </sheetData>
  <mergeCells count="17">
    <mergeCell ref="E12:F12"/>
    <mergeCell ref="E6:F6"/>
    <mergeCell ref="E20:F20"/>
    <mergeCell ref="B2:F2"/>
    <mergeCell ref="E7:F7"/>
    <mergeCell ref="E10:F10"/>
    <mergeCell ref="E18:F18"/>
    <mergeCell ref="E19:F19"/>
    <mergeCell ref="E11:F11"/>
    <mergeCell ref="E5:F5"/>
    <mergeCell ref="E13:F13"/>
    <mergeCell ref="E14:F14"/>
    <mergeCell ref="B1:F1"/>
    <mergeCell ref="E9:F9"/>
    <mergeCell ref="B17:F17"/>
    <mergeCell ref="E8:F8"/>
    <mergeCell ref="E21:F2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2026-09-23T09:23:01Z</dcterms:created>
  <dcterms:modified xmlns:dcterms="http://purl.org/dc/terms/" xmlns:xsi="http://www.w3.org/2001/XMLSchema-instance" xsi:type="dcterms:W3CDTF">2026-09-23T09:23:02Z</dcterms:modified>
</cp:coreProperties>
</file>